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2020-2022итоговая" sheetId="1" r:id="rId1"/>
  </sheets>
  <definedNames>
    <definedName name="_xlnm._FilterDatabase" localSheetId="0" hidden="1">'2020-2022итоговая'!$A$9:$AA$283</definedName>
    <definedName name="_xlnm.Print_Titles" localSheetId="0">'2020-2022итоговая'!$7:$9</definedName>
    <definedName name="_xlnm.Print_Area" localSheetId="0">'2020-2022итоговая'!$A$1:$AM$300</definedName>
  </definedNames>
  <calcPr calcId="124519"/>
</workbook>
</file>

<file path=xl/calcChain.xml><?xml version="1.0" encoding="utf-8"?>
<calcChain xmlns="http://schemas.openxmlformats.org/spreadsheetml/2006/main">
  <c r="D214" i="1"/>
  <c r="D255"/>
  <c r="D251"/>
  <c r="D212" l="1"/>
  <c r="D136"/>
  <c r="D173"/>
  <c r="D166"/>
  <c r="D164"/>
  <c r="E155"/>
  <c r="F155"/>
  <c r="D155"/>
  <c r="D160"/>
  <c r="D159"/>
  <c r="D158"/>
  <c r="D157"/>
  <c r="G155"/>
  <c r="H155"/>
  <c r="I155"/>
  <c r="J155"/>
  <c r="K155"/>
  <c r="L155"/>
  <c r="M155"/>
  <c r="N155"/>
  <c r="O155"/>
  <c r="P155"/>
  <c r="Q155"/>
  <c r="R155"/>
  <c r="S155"/>
  <c r="T155"/>
  <c r="U155"/>
  <c r="V155"/>
  <c r="W155"/>
  <c r="X155"/>
  <c r="Y155"/>
  <c r="Z155"/>
  <c r="AA155"/>
  <c r="AB155"/>
  <c r="AC155"/>
  <c r="AD155"/>
  <c r="AE155"/>
  <c r="AF155"/>
  <c r="AG155"/>
  <c r="AH155"/>
  <c r="AI155"/>
  <c r="AJ155"/>
  <c r="AK155"/>
  <c r="AL155"/>
  <c r="AM155"/>
  <c r="D153"/>
  <c r="D150"/>
  <c r="D149"/>
  <c r="D148"/>
  <c r="D146"/>
  <c r="E144"/>
  <c r="F144"/>
  <c r="D144"/>
  <c r="D142"/>
  <c r="D140"/>
  <c r="D139"/>
  <c r="D137"/>
  <c r="E133"/>
  <c r="F133"/>
  <c r="D133"/>
  <c r="D132" l="1"/>
  <c r="D131"/>
  <c r="D129" l="1"/>
  <c r="D127"/>
  <c r="D125"/>
  <c r="E121"/>
  <c r="F121"/>
  <c r="D121"/>
  <c r="D122"/>
  <c r="D120"/>
  <c r="D119"/>
  <c r="E115"/>
  <c r="F115"/>
  <c r="G115"/>
  <c r="H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AI115"/>
  <c r="AJ115"/>
  <c r="AK115"/>
  <c r="AL115"/>
  <c r="AM115"/>
  <c r="D115"/>
  <c r="D116"/>
  <c r="D102"/>
  <c r="D100"/>
  <c r="D96"/>
  <c r="D88"/>
  <c r="D91"/>
  <c r="D87"/>
  <c r="D85"/>
  <c r="D84"/>
  <c r="D81"/>
  <c r="D80"/>
  <c r="D78"/>
  <c r="D74"/>
  <c r="D65"/>
  <c r="D63"/>
  <c r="D45"/>
  <c r="D39"/>
  <c r="D37"/>
  <c r="D35"/>
  <c r="D16"/>
  <c r="D15"/>
  <c r="D14"/>
  <c r="D222"/>
  <c r="D227" l="1"/>
  <c r="F238" l="1"/>
  <c r="E238"/>
  <c r="D238"/>
  <c r="F184" l="1"/>
  <c r="E184"/>
  <c r="D184"/>
  <c r="D223" l="1"/>
  <c r="D228" l="1"/>
  <c r="D226" l="1"/>
  <c r="D224" l="1"/>
  <c r="D246" l="1"/>
  <c r="F186" l="1"/>
  <c r="E186"/>
  <c r="D186"/>
  <c r="D180"/>
  <c r="F182" l="1"/>
  <c r="E182"/>
  <c r="D182"/>
  <c r="D103" l="1"/>
  <c r="D54" l="1"/>
  <c r="D261" l="1"/>
  <c r="D252"/>
  <c r="E152"/>
  <c r="F152"/>
  <c r="D152"/>
  <c r="D110"/>
  <c r="D70"/>
  <c r="E66"/>
  <c r="F66"/>
  <c r="D66"/>
  <c r="F179" l="1"/>
  <c r="E179"/>
  <c r="D179"/>
  <c r="F242" l="1"/>
  <c r="E242"/>
  <c r="D242"/>
  <c r="D198" l="1"/>
  <c r="D260" l="1"/>
  <c r="D250"/>
  <c r="D165" l="1"/>
  <c r="F135"/>
  <c r="E135"/>
  <c r="D135"/>
  <c r="F128"/>
  <c r="E128"/>
  <c r="D128"/>
  <c r="D126"/>
  <c r="F126"/>
  <c r="E126"/>
  <c r="F124"/>
  <c r="E124"/>
  <c r="D124"/>
  <c r="D118"/>
  <c r="D99"/>
  <c r="D154" l="1"/>
  <c r="D151" s="1"/>
  <c r="F154"/>
  <c r="F151" s="1"/>
  <c r="E154"/>
  <c r="E151" s="1"/>
  <c r="F147"/>
  <c r="E147"/>
  <c r="D147"/>
  <c r="F254" l="1"/>
  <c r="F253" s="1"/>
  <c r="E254"/>
  <c r="E253" s="1"/>
  <c r="F190"/>
  <c r="E190"/>
  <c r="D190"/>
  <c r="D192"/>
  <c r="E192"/>
  <c r="F192"/>
  <c r="F250"/>
  <c r="E250"/>
  <c r="D240"/>
  <c r="D237" s="1"/>
  <c r="F138" l="1"/>
  <c r="E138"/>
  <c r="D138"/>
  <c r="F130"/>
  <c r="E130"/>
  <c r="D130"/>
  <c r="D114" l="1"/>
  <c r="F240"/>
  <c r="F237" s="1"/>
  <c r="E240"/>
  <c r="E237" s="1"/>
  <c r="F194" l="1"/>
  <c r="E194"/>
  <c r="D194"/>
  <c r="D256" l="1"/>
  <c r="D259"/>
  <c r="F189"/>
  <c r="E189"/>
  <c r="D189"/>
  <c r="F248"/>
  <c r="F247" s="1"/>
  <c r="D249"/>
  <c r="E248"/>
  <c r="E247" s="1"/>
  <c r="D254" l="1"/>
  <c r="D253" s="1"/>
  <c r="D248"/>
  <c r="D247" s="1"/>
  <c r="D19" l="1"/>
  <c r="F172" l="1"/>
  <c r="E172"/>
  <c r="D172"/>
  <c r="F75"/>
  <c r="E75"/>
  <c r="D75"/>
  <c r="F77"/>
  <c r="E77"/>
  <c r="D77"/>
  <c r="F73"/>
  <c r="E73"/>
  <c r="D73"/>
  <c r="D143" l="1"/>
  <c r="D236"/>
  <c r="D235"/>
  <c r="F228"/>
  <c r="E228"/>
  <c r="E214" s="1"/>
  <c r="F204"/>
  <c r="F197" s="1"/>
  <c r="E204"/>
  <c r="E197" s="1"/>
  <c r="D204"/>
  <c r="D197" s="1"/>
  <c r="F178"/>
  <c r="E178"/>
  <c r="D178"/>
  <c r="D177" s="1"/>
  <c r="D176" s="1"/>
  <c r="D234" l="1"/>
  <c r="D213"/>
  <c r="D210" s="1"/>
  <c r="D175" s="1"/>
  <c r="D174" s="1"/>
  <c r="F177"/>
  <c r="F176" s="1"/>
  <c r="E177"/>
  <c r="E176" s="1"/>
  <c r="F282" l="1"/>
  <c r="E282"/>
  <c r="E281" s="1"/>
  <c r="D282"/>
  <c r="F278"/>
  <c r="E278"/>
  <c r="D278"/>
  <c r="F273"/>
  <c r="E273"/>
  <c r="D273"/>
  <c r="F277" l="1"/>
  <c r="F281"/>
  <c r="D281"/>
  <c r="E277"/>
  <c r="D277" s="1"/>
  <c r="F271"/>
  <c r="E271"/>
  <c r="E270" s="1"/>
  <c r="D271"/>
  <c r="F267"/>
  <c r="E267"/>
  <c r="D267"/>
  <c r="F265"/>
  <c r="E265"/>
  <c r="D265"/>
  <c r="F276" l="1"/>
  <c r="F270"/>
  <c r="F269" s="1"/>
  <c r="F280"/>
  <c r="E280" s="1"/>
  <c r="D280" s="1"/>
  <c r="D264"/>
  <c r="F264"/>
  <c r="E264"/>
  <c r="E276"/>
  <c r="F275" l="1"/>
  <c r="F263" s="1"/>
  <c r="D276"/>
  <c r="D275" s="1"/>
  <c r="E275"/>
  <c r="D270"/>
  <c r="E269"/>
  <c r="F245"/>
  <c r="E245"/>
  <c r="D245"/>
  <c r="F244" s="1"/>
  <c r="F234"/>
  <c r="E234"/>
  <c r="F233"/>
  <c r="F231"/>
  <c r="E231"/>
  <c r="D231"/>
  <c r="F229"/>
  <c r="E229"/>
  <c r="E263" l="1"/>
  <c r="E244"/>
  <c r="D244" s="1"/>
  <c r="E233"/>
  <c r="D233" s="1"/>
  <c r="D269"/>
  <c r="D263" s="1"/>
  <c r="D229"/>
  <c r="F214"/>
  <c r="F211"/>
  <c r="E211"/>
  <c r="D211"/>
  <c r="F213" l="1"/>
  <c r="F210" s="1"/>
  <c r="E213"/>
  <c r="E210" s="1"/>
  <c r="F196"/>
  <c r="E196"/>
  <c r="D196"/>
  <c r="F188" l="1"/>
  <c r="E188"/>
  <c r="D188"/>
  <c r="E181" l="1"/>
  <c r="E175" s="1"/>
  <c r="E174" s="1"/>
  <c r="D181"/>
  <c r="D262" s="1"/>
  <c r="F181"/>
  <c r="F175" s="1"/>
  <c r="F174" s="1"/>
  <c r="D171" l="1"/>
  <c r="F171"/>
  <c r="E171"/>
  <c r="F168"/>
  <c r="E168"/>
  <c r="D168"/>
  <c r="F167" s="1"/>
  <c r="F143"/>
  <c r="E143"/>
  <c r="F141"/>
  <c r="E141"/>
  <c r="D141"/>
  <c r="F118"/>
  <c r="F114" s="1"/>
  <c r="E118"/>
  <c r="E114" s="1"/>
  <c r="F170" l="1"/>
  <c r="E170" s="1"/>
  <c r="D170" s="1"/>
  <c r="E167"/>
  <c r="D167" s="1"/>
  <c r="D113" s="1"/>
  <c r="AP113" s="1"/>
  <c r="F113"/>
  <c r="E113" l="1"/>
  <c r="F111" l="1"/>
  <c r="E111"/>
  <c r="D111"/>
  <c r="F109"/>
  <c r="E109"/>
  <c r="D109"/>
  <c r="F106"/>
  <c r="E106"/>
  <c r="D106"/>
  <c r="F105" s="1"/>
  <c r="F99"/>
  <c r="F98" s="1"/>
  <c r="F97" s="1"/>
  <c r="E99"/>
  <c r="E98" s="1"/>
  <c r="E97" s="1"/>
  <c r="D98"/>
  <c r="F95"/>
  <c r="E95"/>
  <c r="D95"/>
  <c r="F90"/>
  <c r="E90"/>
  <c r="D90"/>
  <c r="F89" s="1"/>
  <c r="F86"/>
  <c r="E86"/>
  <c r="D86"/>
  <c r="F83" s="1"/>
  <c r="F79"/>
  <c r="F72" s="1"/>
  <c r="E79"/>
  <c r="E72" s="1"/>
  <c r="D79"/>
  <c r="F69"/>
  <c r="E69"/>
  <c r="D69"/>
  <c r="F64"/>
  <c r="E64"/>
  <c r="D64"/>
  <c r="F62"/>
  <c r="E62"/>
  <c r="D62"/>
  <c r="F60"/>
  <c r="E60"/>
  <c r="D60"/>
  <c r="F56"/>
  <c r="F55" s="1"/>
  <c r="E56"/>
  <c r="E55" s="1"/>
  <c r="D56"/>
  <c r="D55" s="1"/>
  <c r="F53"/>
  <c r="E53"/>
  <c r="D53"/>
  <c r="F51" s="1"/>
  <c r="F49"/>
  <c r="E49"/>
  <c r="D49"/>
  <c r="F46"/>
  <c r="E46"/>
  <c r="D46"/>
  <c r="F44"/>
  <c r="E44"/>
  <c r="D44"/>
  <c r="F41"/>
  <c r="E41"/>
  <c r="D41"/>
  <c r="F38"/>
  <c r="E38"/>
  <c r="D38"/>
  <c r="F36"/>
  <c r="E36"/>
  <c r="D36"/>
  <c r="F33"/>
  <c r="E33"/>
  <c r="D33"/>
  <c r="F31"/>
  <c r="D59" l="1"/>
  <c r="F59"/>
  <c r="E59"/>
  <c r="F94"/>
  <c r="D72"/>
  <c r="F68"/>
  <c r="F43"/>
  <c r="E105"/>
  <c r="E43"/>
  <c r="D43"/>
  <c r="F48"/>
  <c r="E68"/>
  <c r="E94"/>
  <c r="D94" s="1"/>
  <c r="D108"/>
  <c r="F108"/>
  <c r="E108"/>
  <c r="E89"/>
  <c r="D89" s="1"/>
  <c r="D97"/>
  <c r="F40"/>
  <c r="E51"/>
  <c r="F71"/>
  <c r="E83"/>
  <c r="D83" s="1"/>
  <c r="F82" s="1"/>
  <c r="D105"/>
  <c r="E31"/>
  <c r="D31"/>
  <c r="F29"/>
  <c r="E29"/>
  <c r="D29"/>
  <c r="E40" l="1"/>
  <c r="F93"/>
  <c r="E93" s="1"/>
  <c r="D93" s="1"/>
  <c r="D92" s="1"/>
  <c r="D68"/>
  <c r="E92"/>
  <c r="F58"/>
  <c r="F104"/>
  <c r="E104" s="1"/>
  <c r="D104" s="1"/>
  <c r="D40"/>
  <c r="F28"/>
  <c r="F27" s="1"/>
  <c r="E82"/>
  <c r="D82" s="1"/>
  <c r="E28"/>
  <c r="D71"/>
  <c r="E71"/>
  <c r="E58" s="1"/>
  <c r="D51"/>
  <c r="D48" s="1"/>
  <c r="E48"/>
  <c r="F25"/>
  <c r="E25"/>
  <c r="D25"/>
  <c r="F23"/>
  <c r="E23"/>
  <c r="D23"/>
  <c r="F21"/>
  <c r="E21"/>
  <c r="D21"/>
  <c r="F19"/>
  <c r="E19"/>
  <c r="D58" l="1"/>
  <c r="F92"/>
  <c r="F18"/>
  <c r="F17" s="1"/>
  <c r="E18"/>
  <c r="E17" s="1"/>
  <c r="D28"/>
  <c r="D27" s="1"/>
  <c r="E27"/>
  <c r="D18"/>
  <c r="D17" s="1"/>
  <c r="F12"/>
  <c r="E12"/>
  <c r="D12"/>
  <c r="F11" l="1"/>
  <c r="F10" s="1"/>
  <c r="F262" s="1"/>
  <c r="E11"/>
  <c r="D11"/>
  <c r="D10" s="1"/>
  <c r="AP10" s="1"/>
  <c r="E10" l="1"/>
  <c r="E262" s="1"/>
</calcChain>
</file>

<file path=xl/sharedStrings.xml><?xml version="1.0" encoding="utf-8"?>
<sst xmlns="http://schemas.openxmlformats.org/spreadsheetml/2006/main" count="835" uniqueCount="503">
  <si>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</si>
  <si>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</si>
  <si>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</si>
  <si>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</si>
  <si>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</si>
  <si>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</si>
  <si>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</si>
  <si>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</si>
  <si>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</si>
  <si>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</si>
  <si>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</si>
  <si>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</si>
  <si>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</si>
  <si>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</si>
  <si>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</si>
  <si>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</si>
  <si>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1 01 02020 01 0000 110</t>
  </si>
  <si>
    <t>1 01 02030 01 0000 110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</si>
  <si>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</si>
  <si>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</si>
  <si>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</si>
  <si>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</si>
  <si>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</si>
  <si>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</si>
  <si>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</si>
  <si>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</si>
  <si>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</si>
  <si>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</si>
  <si>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</si>
  <si>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</si>
  <si>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</si>
  <si>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</si>
  <si>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</si>
  <si>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</si>
  <si>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</si>
  <si>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</si>
  <si>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</si>
  <si>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</si>
  <si>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</si>
  <si>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</si>
  <si>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</si>
  <si>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</si>
  <si>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</si>
  <si>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</si>
  <si>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</si>
  <si>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</si>
  <si>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</si>
  <si>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</si>
  <si>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</si>
  <si>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</si>
  <si>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</si>
  <si>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</si>
  <si>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</si>
  <si>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</si>
  <si>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</si>
  <si>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</si>
  <si>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</si>
  <si>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</si>
  <si>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</si>
  <si>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</si>
  <si>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</si>
  <si>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</si>
  <si>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</si>
  <si>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</si>
  <si>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</si>
  <si>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</si>
  <si>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</si>
  <si>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</si>
  <si>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</si>
  <si>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</si>
  <si>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</si>
  <si>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</si>
  <si>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</si>
  <si>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</si>
  <si>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</si>
  <si>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</si>
  <si>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</si>
  <si>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</si>
  <si>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</si>
  <si>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</si>
  <si>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</si>
  <si>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</si>
  <si>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</si>
  <si>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</si>
  <si>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</si>
  <si>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</si>
  <si>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</si>
  <si>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</si>
  <si>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</si>
  <si>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</si>
  <si>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</si>
  <si>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</si>
  <si>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</si>
  <si>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</si>
  <si>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</si>
  <si>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</si>
  <si>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</si>
  <si>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</si>
  <si>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</si>
  <si>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</si>
  <si>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</si>
  <si>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</si>
  <si>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</si>
  <si>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</si>
  <si>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</si>
  <si>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</si>
  <si>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</si>
  <si>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</si>
  <si>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</si>
  <si>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</si>
  <si>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</si>
  <si>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</si>
  <si>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</si>
  <si>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</si>
  <si>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</si>
  <si>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</si>
  <si>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</si>
  <si>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</si>
  <si>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</si>
  <si>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</si>
  <si>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</si>
  <si>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</si>
  <si>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</si>
  <si>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</si>
  <si>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</si>
  <si>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</si>
  <si>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</si>
  <si>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</si>
  <si>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</si>
  <si>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</si>
  <si>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</si>
  <si>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</si>
  <si>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</si>
  <si>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</si>
  <si>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</si>
  <si>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</si>
  <si>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</si>
  <si>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</si>
  <si>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</si>
  <si>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</si>
  <si>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</si>
  <si>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</si>
  <si>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</si>
  <si>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</si>
  <si>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</si>
  <si>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</si>
  <si>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</si>
  <si>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</si>
  <si>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</si>
  <si>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</si>
  <si>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</si>
  <si>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</si>
  <si>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</si>
  <si>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</si>
  <si>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</si>
  <si>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</si>
  <si>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</si>
  <si>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</si>
  <si>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</si>
  <si>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</si>
  <si>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</si>
  <si>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</si>
  <si>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</si>
  <si>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</si>
  <si>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</si>
  <si>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</si>
  <si>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</si>
  <si>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</si>
  <si>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</si>
  <si>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</si>
  <si>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</si>
  <si>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</si>
  <si>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</si>
  <si>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</si>
  <si>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</si>
  <si>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</si>
  <si>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</si>
  <si>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</si>
  <si>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</si>
  <si>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</si>
  <si>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</si>
  <si>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</si>
  <si>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</si>
  <si>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</si>
  <si>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</si>
  <si>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</si>
  <si>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</si>
  <si>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</si>
  <si>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</si>
  <si>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</si>
  <si>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</si>
  <si>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</si>
  <si>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</si>
  <si>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</si>
  <si>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</si>
  <si>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</si>
  <si>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</si>
  <si>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</si>
  <si>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</si>
  <si>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</si>
  <si>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</si>
  <si>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</si>
  <si>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</si>
  <si>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</si>
  <si>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</si>
  <si>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</si>
  <si>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</si>
  <si>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</si>
  <si>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</si>
  <si>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</si>
  <si>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</si>
  <si>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</si>
  <si>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</si>
  <si>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</si>
  <si>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</si>
  <si>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</si>
  <si>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</si>
  <si>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</si>
  <si>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</si>
  <si>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</si>
  <si>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</si>
  <si>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</si>
  <si>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</si>
  <si>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</si>
  <si>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</si>
  <si>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</si>
  <si>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</si>
  <si>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</si>
  <si>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</si>
  <si>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</si>
  <si>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</si>
  <si>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</si>
  <si>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</si>
  <si>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</si>
  <si>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</si>
  <si>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</si>
  <si>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</si>
  <si>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</si>
  <si>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</si>
  <si>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</si>
  <si>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</si>
  <si>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</si>
  <si>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</si>
  <si>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</si>
  <si>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</si>
  <si>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</si>
  <si>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</si>
  <si>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</si>
  <si>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</si>
  <si>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</si>
  <si>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</si>
  <si>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</si>
  <si>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</si>
  <si>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</si>
  <si>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</si>
  <si>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</si>
  <si>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</si>
  <si>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</si>
  <si>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</si>
  <si>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</si>
  <si>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</si>
  <si>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</si>
  <si>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</si>
  <si>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</si>
  <si>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</si>
  <si>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</si>
  <si>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</si>
  <si>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</si>
  <si>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</si>
  <si>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</si>
  <si>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</si>
  <si>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</si>
  <si>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</si>
  <si>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</si>
  <si>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</si>
  <si>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</si>
  <si>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</si>
  <si>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</si>
  <si>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</si>
  <si>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</si>
  <si>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</si>
  <si>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</si>
  <si>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</si>
  <si>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</si>
  <si>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</si>
  <si>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</si>
  <si>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</si>
  <si>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</si>
  <si>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</si>
  <si>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</si>
  <si>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</si>
  <si>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</si>
  <si>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</si>
  <si>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</si>
  <si>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</si>
  <si>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</si>
  <si>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</si>
  <si>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</si>
  <si>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</si>
  <si>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</si>
  <si>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</si>
  <si>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</si>
  <si>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</si>
  <si>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</si>
  <si>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</si>
  <si>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</si>
  <si>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</si>
  <si>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</si>
  <si>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</si>
  <si>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</si>
  <si>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</si>
  <si>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</si>
  <si>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</si>
  <si>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</si>
  <si>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</si>
  <si>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</si>
  <si>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2 02 35469 04 0000 150</t>
  </si>
  <si>
    <t>2 02 35469 00 0000 150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</si>
  <si>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</si>
  <si>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</si>
  <si>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</si>
  <si>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</si>
  <si>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</si>
  <si>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</si>
  <si>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</si>
  <si>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</si>
  <si>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</si>
  <si>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</si>
  <si>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</si>
  <si>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</si>
  <si>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</si>
  <si>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</si>
  <si>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</si>
  <si>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</si>
  <si>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</si>
  <si>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</si>
  <si>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</si>
  <si>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</si>
  <si>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</si>
  <si>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</si>
  <si>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</si>
  <si>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</si>
  <si>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</si>
  <si>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</si>
  <si>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</si>
  <si>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</si>
  <si>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</si>
  <si>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</si>
  <si>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</si>
  <si>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</si>
  <si>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</si>
  <si>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</si>
  <si>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</si>
  <si>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</si>
  <si>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</si>
  <si>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</si>
  <si>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</si>
  <si>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</si>
  <si>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</si>
  <si>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</si>
  <si>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</si>
  <si>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</si>
  <si>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</si>
  <si>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</si>
  <si>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2 02 25519 04 0000 150</t>
  </si>
  <si>
    <t>2 02 25519 00 0000 150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</si>
  <si>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</si>
  <si>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</si>
  <si>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</si>
  <si>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</si>
  <si>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</si>
  <si>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</si>
  <si>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</si>
  <si>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</si>
  <si>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</si>
  <si>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</si>
  <si>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</si>
  <si>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</si>
  <si>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</si>
  <si>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</si>
  <si>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</si>
  <si>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</si>
  <si>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</si>
  <si>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</si>
  <si>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</si>
  <si>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</si>
  <si>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</si>
  <si>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</si>
  <si>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</si>
  <si>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</si>
  <si>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</si>
  <si>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</si>
  <si>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областных государственных полномочий по обеспечению бесплатным двухразовым питанием детей-инвалидов.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</si>
  <si>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</si>
  <si>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</si>
  <si>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</si>
  <si>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</si>
  <si>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</si>
  <si>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</si>
  <si>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</si>
  <si>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</si>
  <si>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</si>
  <si>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</si>
  <si>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</si>
  <si>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</si>
  <si>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</si>
  <si>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</si>
  <si>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</si>
  <si>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</si>
  <si>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</si>
  <si>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</si>
  <si>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</si>
  <si>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</si>
  <si>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</si>
  <si>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</si>
  <si>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</si>
  <si>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</si>
  <si>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</si>
  <si>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</si>
  <si>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</si>
  <si>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</si>
  <si>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</si>
  <si>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</si>
  <si>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</si>
  <si>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</si>
  <si>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</si>
  <si>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</si>
  <si>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</si>
  <si>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</si>
  <si>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</si>
  <si>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</si>
  <si>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</si>
  <si>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</si>
  <si>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</si>
  <si>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</si>
  <si>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                                              1 03 02261 01 0000 110
</t>
  </si>
  <si>
    <t>908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</si>
  <si>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</si>
  <si>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</si>
  <si>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</si>
  <si>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</si>
  <si>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</si>
  <si>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</si>
  <si>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</si>
  <si>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</si>
  <si>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</si>
  <si>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</si>
  <si>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</si>
  <si>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</si>
  <si>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</si>
  <si>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415</t>
  </si>
  <si>
    <t xml:space="preserve"> 1 16 10000 00 0000 140</t>
  </si>
  <si>
    <t>Платежи в целях возмещения причиненного ущерба (убытков)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</si>
  <si>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</si>
  <si>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</si>
  <si>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2 02 49999 04 0000 150</t>
  </si>
  <si>
    <t>Прочие межбюджетные трансферты, передаваемые бюджетам городских округов</t>
  </si>
  <si>
    <t>2 02 49999 00 0000 150</t>
  </si>
  <si>
    <t>Прочие межбюджетные трансферты, передаваемые бюджетам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</si>
  <si>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</si>
  <si>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</si>
  <si>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</si>
  <si>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</si>
  <si>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</si>
  <si>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</si>
  <si>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</si>
  <si>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</si>
  <si>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</si>
  <si>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</si>
  <si>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1 16 10030 04 0000 140</t>
  </si>
  <si>
    <t>1 16 10031 04 0000 140</t>
  </si>
  <si>
    <t>840</t>
  </si>
  <si>
    <t>Осуществление отдельных областных государственных полномочий в сфере труда</t>
  </si>
  <si>
    <t>А.П. Чихирьков</t>
  </si>
  <si>
    <t>Мэр города</t>
  </si>
  <si>
    <t xml:space="preserve">А.И. Щекина 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</si>
  <si>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</si>
  <si>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</si>
  <si>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</si>
  <si>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</si>
  <si>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</si>
  <si>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</si>
  <si>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</si>
  <si>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</si>
  <si>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</si>
  <si>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</si>
  <si>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1 16 10123 01 0000 140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</si>
  <si>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</si>
  <si>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</si>
  <si>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</si>
  <si>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</si>
  <si>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2 02 25081 00 0000 150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</si>
  <si>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00.10.2020г. №00/00
</t>
    </r>
    <r>
      <rPr>
        <b/>
        <sz val="10"/>
        <rFont val="Times New Roman"/>
        <family val="1"/>
        <charset val="204"/>
      </rPr>
      <t xml:space="preserve">
</t>
    </r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</si>
  <si>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</si>
  <si>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</si>
  <si>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</si>
  <si>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</si>
  <si>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</si>
  <si>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</si>
  <si>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</si>
  <si>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</si>
  <si>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076</t>
  </si>
  <si>
    <t>809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</si>
</sst>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,##0.0"/>
    <numFmt numFmtId="168" formatCode="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  <xf numFmtId="0" fontId="15" fillId="0" borderId="2">
      <alignment horizontal="left" wrapText="1" indent="2"/>
    </xf>
    <xf numFmtId="49" fontId="15" fillId="0" borderId="3">
      <alignment horizontal="center"/>
    </xf>
    <xf numFmtId="0" fontId="8" fillId="0" borderId="0"/>
  </cellStyleXfs>
  <cellXfs count="128">
    <xf numFmtId="0" fontId="0" fillId="0" borderId="0" xfId="0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9" fontId="2" fillId="0" borderId="0" xfId="3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Border="1"/>
    <xf numFmtId="0" fontId="16" fillId="0" borderId="0" xfId="0" applyFont="1" applyFill="1" applyBorder="1"/>
    <xf numFmtId="0" fontId="2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right" vertical="center"/>
    </xf>
    <xf numFmtId="3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6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7" fillId="0" borderId="0" xfId="0" applyFont="1" applyFill="1"/>
    <xf numFmtId="4" fontId="10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7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3" fillId="0" borderId="1" xfId="4" applyNumberFormat="1" applyFont="1" applyFill="1" applyBorder="1" applyAlignment="1" applyProtection="1">
      <alignment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1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" xfId="5" applyNumberFormat="1" applyFont="1" applyFill="1" applyBorder="1" applyAlignment="1" applyProtection="1">
      <alignment vertical="center" wrapText="1"/>
      <protection hidden="1"/>
    </xf>
    <xf numFmtId="0" fontId="3" fillId="0" borderId="1" xfId="0" applyFont="1" applyFill="1" applyBorder="1" applyAlignment="1">
      <alignment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 applyProtection="1">
      <alignment horizontal="center" vertical="center"/>
      <protection hidden="1"/>
    </xf>
    <xf numFmtId="3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5" applyNumberFormat="1" applyFont="1" applyFill="1" applyBorder="1" applyAlignment="1" applyProtection="1">
      <alignment horizontal="left" vertical="center" wrapText="1"/>
    </xf>
    <xf numFmtId="49" fontId="3" fillId="0" borderId="1" xfId="16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vertical="center" wrapText="1" shrinkToFi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indent="3"/>
    </xf>
    <xf numFmtId="0" fontId="3" fillId="0" borderId="0" xfId="0" applyFont="1" applyFill="1" applyBorder="1" applyAlignment="1">
      <alignment horizontal="left" vertical="center" indent="3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3"/>
    </xf>
    <xf numFmtId="0" fontId="3" fillId="0" borderId="1" xfId="0" applyFont="1" applyFill="1" applyBorder="1" applyAlignment="1">
      <alignment horizontal="justify" vertical="center"/>
    </xf>
    <xf numFmtId="168" fontId="3" fillId="0" borderId="1" xfId="14" applyNumberFormat="1" applyFont="1" applyFill="1" applyBorder="1" applyAlignment="1" applyProtection="1">
      <alignment horizontal="left" vertical="center" wrapText="1"/>
      <protection hidden="1"/>
    </xf>
    <xf numFmtId="2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9" applyNumberFormat="1" applyFont="1" applyFill="1" applyBorder="1" applyAlignment="1" applyProtection="1">
      <alignment horizontal="left" vertical="center" wrapText="1"/>
    </xf>
    <xf numFmtId="49" fontId="3" fillId="0" borderId="1" xfId="10" applyNumberFormat="1" applyFont="1" applyFill="1" applyBorder="1" applyAlignment="1" applyProtection="1">
      <alignment horizontal="center" vertical="center"/>
    </xf>
    <xf numFmtId="0" fontId="3" fillId="0" borderId="1" xfId="9" applyNumberFormat="1" applyFont="1" applyFill="1" applyBorder="1" applyAlignment="1" applyProtection="1">
      <alignment horizontal="left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16" fillId="0" borderId="0" xfId="0" applyNumberFormat="1" applyFont="1" applyFill="1" applyBorder="1"/>
    <xf numFmtId="4" fontId="16" fillId="0" borderId="0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1" applyNumberFormat="1" applyFont="1" applyFill="1" applyBorder="1" applyAlignment="1">
      <alignment horizontal="center" vertical="center"/>
    </xf>
    <xf numFmtId="0" fontId="3" fillId="0" borderId="1" xfId="11" applyNumberFormat="1" applyFont="1" applyFill="1" applyBorder="1" applyAlignment="1" applyProtection="1">
      <alignment vertical="center" wrapText="1"/>
    </xf>
    <xf numFmtId="49" fontId="3" fillId="0" borderId="1" xfId="12" applyNumberFormat="1" applyFont="1" applyFill="1" applyBorder="1" applyAlignment="1" applyProtection="1">
      <alignment horizontal="center" vertical="center" shrinkToFi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7" applyFont="1" applyFill="1"/>
    <xf numFmtId="0" fontId="4" fillId="0" borderId="0" xfId="5" applyFont="1" applyFill="1" applyAlignment="1">
      <alignment horizontal="center" vertical="center"/>
    </xf>
    <xf numFmtId="0" fontId="4" fillId="0" borderId="0" xfId="5" applyNumberFormat="1" applyFont="1" applyFill="1" applyAlignment="1">
      <alignment vertical="center" wrapText="1"/>
    </xf>
    <xf numFmtId="0" fontId="4" fillId="0" borderId="0" xfId="7" applyFont="1" applyFill="1" applyAlignment="1">
      <alignment horizontal="center" wrapText="1"/>
    </xf>
    <xf numFmtId="0" fontId="11" fillId="0" borderId="0" xfId="0" applyFont="1" applyFill="1" applyBorder="1"/>
    <xf numFmtId="0" fontId="4" fillId="0" borderId="0" xfId="5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4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4" fontId="3" fillId="0" borderId="0" xfId="7" applyNumberFormat="1" applyFont="1" applyFill="1"/>
    <xf numFmtId="0" fontId="11" fillId="0" borderId="0" xfId="5" applyNumberFormat="1" applyFont="1" applyFill="1" applyAlignment="1">
      <alignment vertical="center" wrapText="1"/>
    </xf>
    <xf numFmtId="4" fontId="4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4" fillId="0" borderId="0" xfId="5" applyFont="1" applyFill="1" applyProtection="1">
      <protection hidden="1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3" fillId="0" borderId="1" xfId="4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1" xfId="17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wrapText="1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 indent="5"/>
    </xf>
    <xf numFmtId="0" fontId="4" fillId="0" borderId="0" xfId="0" applyFont="1" applyFill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5" applyFont="1" applyFill="1" applyAlignment="1" applyProtection="1">
      <alignment horizontal="center"/>
      <protection hidden="1"/>
    </xf>
  </cellXfs>
  <cellStyles count="18">
    <cellStyle name="xl123" xfId="11"/>
    <cellStyle name="xl128" xfId="12"/>
    <cellStyle name="xl31" xfId="15"/>
    <cellStyle name="xl34" xfId="9"/>
    <cellStyle name="xl43" xfId="16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 5" xfId="17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08"/>
  <sheetViews>
    <sheetView tabSelected="1" workbookViewId="0">
      <pane ySplit="9" topLeftCell="A220" activePane="bottomLeft" state="frozen"/>
      <selection pane="bottomLeft" activeCell="C224" sqref="C224"/>
    </sheetView>
  </sheetViews>
  <sheetFormatPr defaultRowHeight="30" customHeight="1"/>
  <cols>
    <col min="1" max="1" width="56.42578125" style="2" customWidth="1"/>
    <col min="2" max="2" width="8.42578125" style="96" customWidth="1"/>
    <col min="3" max="3" width="23.28515625" style="97" customWidth="1"/>
    <col min="4" max="4" width="17.85546875" style="5" customWidth="1"/>
    <col min="5" max="5" width="15.28515625" style="13" customWidth="1"/>
    <col min="6" max="6" width="15.42578125" style="5" customWidth="1"/>
    <col min="7" max="13" width="8.85546875" style="5" hidden="1" customWidth="1"/>
    <col min="14" max="14" width="8.42578125" style="5" hidden="1" customWidth="1"/>
    <col min="15" max="20" width="8.85546875" style="5" hidden="1" customWidth="1"/>
    <col min="21" max="21" width="16.42578125" style="6" hidden="1" customWidth="1"/>
    <col min="22" max="22" width="17.28515625" style="6" hidden="1" customWidth="1"/>
    <col min="23" max="23" width="15.42578125" style="115" hidden="1" customWidth="1"/>
    <col min="24" max="24" width="6" style="5" hidden="1" customWidth="1"/>
    <col min="25" max="26" width="8.85546875" style="5" hidden="1" customWidth="1"/>
    <col min="27" max="27" width="10" style="5" hidden="1" customWidth="1"/>
    <col min="28" max="28" width="8.85546875" style="5" hidden="1" customWidth="1"/>
    <col min="29" max="29" width="103.85546875" style="5" hidden="1" customWidth="1"/>
    <col min="30" max="31" width="11.7109375" style="7" hidden="1" customWidth="1"/>
    <col min="32" max="33" width="12.28515625" style="7" hidden="1" customWidth="1"/>
    <col min="34" max="34" width="12.7109375" style="7" hidden="1" customWidth="1"/>
    <col min="35" max="35" width="10.42578125" style="7" hidden="1" customWidth="1"/>
    <col min="36" max="36" width="12.42578125" style="6" hidden="1" customWidth="1"/>
    <col min="37" max="37" width="12.85546875" style="6" hidden="1" customWidth="1"/>
    <col min="38" max="38" width="13.140625" style="6" hidden="1" customWidth="1"/>
    <col min="39" max="39" width="8.85546875" style="5" hidden="1" customWidth="1"/>
    <col min="40" max="240" width="8.85546875" style="5"/>
    <col min="241" max="241" width="54.85546875" style="5" customWidth="1"/>
    <col min="242" max="242" width="7" style="5" customWidth="1"/>
    <col min="243" max="243" width="21.7109375" style="5" customWidth="1"/>
    <col min="244" max="244" width="16.28515625" style="5" customWidth="1"/>
    <col min="245" max="245" width="15.28515625" style="5" customWidth="1"/>
    <col min="246" max="246" width="15.42578125" style="5" customWidth="1"/>
    <col min="247" max="258" width="0" style="5" hidden="1" customWidth="1"/>
    <col min="259" max="496" width="8.85546875" style="5"/>
    <col min="497" max="497" width="54.85546875" style="5" customWidth="1"/>
    <col min="498" max="498" width="7" style="5" customWidth="1"/>
    <col min="499" max="499" width="21.7109375" style="5" customWidth="1"/>
    <col min="500" max="500" width="16.28515625" style="5" customWidth="1"/>
    <col min="501" max="501" width="15.28515625" style="5" customWidth="1"/>
    <col min="502" max="502" width="15.42578125" style="5" customWidth="1"/>
    <col min="503" max="514" width="0" style="5" hidden="1" customWidth="1"/>
    <col min="515" max="752" width="8.85546875" style="5"/>
    <col min="753" max="753" width="54.85546875" style="5" customWidth="1"/>
    <col min="754" max="754" width="7" style="5" customWidth="1"/>
    <col min="755" max="755" width="21.7109375" style="5" customWidth="1"/>
    <col min="756" max="756" width="16.28515625" style="5" customWidth="1"/>
    <col min="757" max="757" width="15.28515625" style="5" customWidth="1"/>
    <col min="758" max="758" width="15.42578125" style="5" customWidth="1"/>
    <col min="759" max="770" width="0" style="5" hidden="1" customWidth="1"/>
    <col min="771" max="1008" width="8.85546875" style="5"/>
    <col min="1009" max="1009" width="11.7109375" style="5" customWidth="1"/>
    <col min="1010" max="1010" width="7" style="5" customWidth="1"/>
    <col min="1011" max="1011" width="21.7109375" style="5" customWidth="1"/>
    <col min="1012" max="1012" width="16.28515625" style="5" customWidth="1"/>
    <col min="1013" max="1013" width="15.28515625" style="5" customWidth="1"/>
    <col min="1014" max="1014" width="15.42578125" style="5" customWidth="1"/>
    <col min="1015" max="1026" width="0" style="5" hidden="1" customWidth="1"/>
    <col min="1027" max="1264" width="8.85546875" style="5"/>
    <col min="1265" max="1265" width="54.85546875" style="5" customWidth="1"/>
    <col min="1266" max="1266" width="7" style="5" customWidth="1"/>
    <col min="1267" max="1267" width="21.7109375" style="5" customWidth="1"/>
    <col min="1268" max="1268" width="16.28515625" style="5" customWidth="1"/>
    <col min="1269" max="1269" width="15.28515625" style="5" customWidth="1"/>
    <col min="1270" max="1270" width="15.42578125" style="5" customWidth="1"/>
    <col min="1271" max="1282" width="0" style="5" hidden="1" customWidth="1"/>
    <col min="1283" max="1520" width="8.85546875" style="5"/>
    <col min="1521" max="1521" width="54.85546875" style="5" customWidth="1"/>
    <col min="1522" max="1522" width="7" style="5" customWidth="1"/>
    <col min="1523" max="1523" width="21.7109375" style="5" customWidth="1"/>
    <col min="1524" max="1524" width="16.28515625" style="5" customWidth="1"/>
    <col min="1525" max="1525" width="15.28515625" style="5" customWidth="1"/>
    <col min="1526" max="1526" width="15.42578125" style="5" customWidth="1"/>
    <col min="1527" max="1538" width="0" style="5" hidden="1" customWidth="1"/>
    <col min="1539" max="1776" width="8.85546875" style="5"/>
    <col min="1777" max="1777" width="54.85546875" style="5" customWidth="1"/>
    <col min="1778" max="1778" width="7" style="5" customWidth="1"/>
    <col min="1779" max="1779" width="21.7109375" style="5" customWidth="1"/>
    <col min="1780" max="1780" width="16.28515625" style="5" customWidth="1"/>
    <col min="1781" max="1781" width="15.28515625" style="5" customWidth="1"/>
    <col min="1782" max="1782" width="15.42578125" style="5" customWidth="1"/>
    <col min="1783" max="1794" width="0" style="5" hidden="1" customWidth="1"/>
    <col min="1795" max="2032" width="8.85546875" style="5"/>
    <col min="2033" max="2033" width="54.85546875" style="5" customWidth="1"/>
    <col min="2034" max="2034" width="7" style="5" customWidth="1"/>
    <col min="2035" max="2035" width="21.7109375" style="5" customWidth="1"/>
    <col min="2036" max="2036" width="16.28515625" style="5" customWidth="1"/>
    <col min="2037" max="2037" width="15.28515625" style="5" customWidth="1"/>
    <col min="2038" max="2038" width="15.42578125" style="5" customWidth="1"/>
    <col min="2039" max="2050" width="0" style="5" hidden="1" customWidth="1"/>
    <col min="2051" max="2288" width="8.85546875" style="5"/>
    <col min="2289" max="2289" width="54.85546875" style="5" customWidth="1"/>
    <col min="2290" max="2290" width="7" style="5" customWidth="1"/>
    <col min="2291" max="2291" width="21.7109375" style="5" customWidth="1"/>
    <col min="2292" max="2292" width="16.28515625" style="5" customWidth="1"/>
    <col min="2293" max="2293" width="15.28515625" style="5" customWidth="1"/>
    <col min="2294" max="2294" width="15.42578125" style="5" customWidth="1"/>
    <col min="2295" max="2306" width="0" style="5" hidden="1" customWidth="1"/>
    <col min="2307" max="2544" width="8.85546875" style="5"/>
    <col min="2545" max="2545" width="54.85546875" style="5" customWidth="1"/>
    <col min="2546" max="2546" width="7" style="5" customWidth="1"/>
    <col min="2547" max="2547" width="21.7109375" style="5" customWidth="1"/>
    <col min="2548" max="2548" width="16.28515625" style="5" customWidth="1"/>
    <col min="2549" max="2549" width="15.28515625" style="5" customWidth="1"/>
    <col min="2550" max="2550" width="15.42578125" style="5" customWidth="1"/>
    <col min="2551" max="2562" width="0" style="5" hidden="1" customWidth="1"/>
    <col min="2563" max="2800" width="8.85546875" style="5"/>
    <col min="2801" max="2801" width="54.85546875" style="5" customWidth="1"/>
    <col min="2802" max="2802" width="7" style="5" customWidth="1"/>
    <col min="2803" max="2803" width="21.7109375" style="5" customWidth="1"/>
    <col min="2804" max="2804" width="16.28515625" style="5" customWidth="1"/>
    <col min="2805" max="2805" width="15.28515625" style="5" customWidth="1"/>
    <col min="2806" max="2806" width="15.42578125" style="5" customWidth="1"/>
    <col min="2807" max="2818" width="0" style="5" hidden="1" customWidth="1"/>
    <col min="2819" max="3056" width="8.85546875" style="5"/>
    <col min="3057" max="3057" width="54.85546875" style="5" customWidth="1"/>
    <col min="3058" max="3058" width="7" style="5" customWidth="1"/>
    <col min="3059" max="3059" width="21.7109375" style="5" customWidth="1"/>
    <col min="3060" max="3060" width="16.28515625" style="5" customWidth="1"/>
    <col min="3061" max="3061" width="15.28515625" style="5" customWidth="1"/>
    <col min="3062" max="3062" width="15.42578125" style="5" customWidth="1"/>
    <col min="3063" max="3074" width="0" style="5" hidden="1" customWidth="1"/>
    <col min="3075" max="3312" width="8.85546875" style="5"/>
    <col min="3313" max="3313" width="54.85546875" style="5" customWidth="1"/>
    <col min="3314" max="3314" width="7" style="5" customWidth="1"/>
    <col min="3315" max="3315" width="21.7109375" style="5" customWidth="1"/>
    <col min="3316" max="3316" width="16.28515625" style="5" customWidth="1"/>
    <col min="3317" max="3317" width="15.28515625" style="5" customWidth="1"/>
    <col min="3318" max="3318" width="15.42578125" style="5" customWidth="1"/>
    <col min="3319" max="3330" width="0" style="5" hidden="1" customWidth="1"/>
    <col min="3331" max="3568" width="8.85546875" style="5"/>
    <col min="3569" max="3569" width="54.85546875" style="5" customWidth="1"/>
    <col min="3570" max="3570" width="7" style="5" customWidth="1"/>
    <col min="3571" max="3571" width="21.7109375" style="5" customWidth="1"/>
    <col min="3572" max="3572" width="16.28515625" style="5" customWidth="1"/>
    <col min="3573" max="3573" width="15.28515625" style="5" customWidth="1"/>
    <col min="3574" max="3574" width="15.42578125" style="5" customWidth="1"/>
    <col min="3575" max="3586" width="0" style="5" hidden="1" customWidth="1"/>
    <col min="3587" max="3824" width="8.85546875" style="5"/>
    <col min="3825" max="3825" width="54.85546875" style="5" customWidth="1"/>
    <col min="3826" max="3826" width="7" style="5" customWidth="1"/>
    <col min="3827" max="3827" width="21.7109375" style="5" customWidth="1"/>
    <col min="3828" max="3828" width="16.28515625" style="5" customWidth="1"/>
    <col min="3829" max="3829" width="15.28515625" style="5" customWidth="1"/>
    <col min="3830" max="3830" width="15.42578125" style="5" customWidth="1"/>
    <col min="3831" max="3842" width="0" style="5" hidden="1" customWidth="1"/>
    <col min="3843" max="4080" width="8.85546875" style="5"/>
    <col min="4081" max="4081" width="54.85546875" style="5" customWidth="1"/>
    <col min="4082" max="4082" width="7" style="5" customWidth="1"/>
    <col min="4083" max="4083" width="21.7109375" style="5" customWidth="1"/>
    <col min="4084" max="4084" width="16.28515625" style="5" customWidth="1"/>
    <col min="4085" max="4085" width="15.28515625" style="5" customWidth="1"/>
    <col min="4086" max="4086" width="15.42578125" style="5" customWidth="1"/>
    <col min="4087" max="4098" width="0" style="5" hidden="1" customWidth="1"/>
    <col min="4099" max="4336" width="8.85546875" style="5"/>
    <col min="4337" max="4337" width="54.85546875" style="5" customWidth="1"/>
    <col min="4338" max="4338" width="7" style="5" customWidth="1"/>
    <col min="4339" max="4339" width="21.7109375" style="5" customWidth="1"/>
    <col min="4340" max="4340" width="16.28515625" style="5" customWidth="1"/>
    <col min="4341" max="4341" width="15.28515625" style="5" customWidth="1"/>
    <col min="4342" max="4342" width="15.42578125" style="5" customWidth="1"/>
    <col min="4343" max="4354" width="0" style="5" hidden="1" customWidth="1"/>
    <col min="4355" max="4592" width="8.85546875" style="5"/>
    <col min="4593" max="4593" width="54.85546875" style="5" customWidth="1"/>
    <col min="4594" max="4594" width="7" style="5" customWidth="1"/>
    <col min="4595" max="4595" width="21.7109375" style="5" customWidth="1"/>
    <col min="4596" max="4596" width="16.28515625" style="5" customWidth="1"/>
    <col min="4597" max="4597" width="15.28515625" style="5" customWidth="1"/>
    <col min="4598" max="4598" width="15.42578125" style="5" customWidth="1"/>
    <col min="4599" max="4610" width="0" style="5" hidden="1" customWidth="1"/>
    <col min="4611" max="4848" width="8.85546875" style="5"/>
    <col min="4849" max="4849" width="54.85546875" style="5" customWidth="1"/>
    <col min="4850" max="4850" width="7" style="5" customWidth="1"/>
    <col min="4851" max="4851" width="21.7109375" style="5" customWidth="1"/>
    <col min="4852" max="4852" width="16.28515625" style="5" customWidth="1"/>
    <col min="4853" max="4853" width="15.28515625" style="5" customWidth="1"/>
    <col min="4854" max="4854" width="15.42578125" style="5" customWidth="1"/>
    <col min="4855" max="4866" width="0" style="5" hidden="1" customWidth="1"/>
    <col min="4867" max="5104" width="8.85546875" style="5"/>
    <col min="5105" max="5105" width="54.85546875" style="5" customWidth="1"/>
    <col min="5106" max="5106" width="7" style="5" customWidth="1"/>
    <col min="5107" max="5107" width="21.7109375" style="5" customWidth="1"/>
    <col min="5108" max="5108" width="16.28515625" style="5" customWidth="1"/>
    <col min="5109" max="5109" width="15.28515625" style="5" customWidth="1"/>
    <col min="5110" max="5110" width="15.42578125" style="5" customWidth="1"/>
    <col min="5111" max="5122" width="0" style="5" hidden="1" customWidth="1"/>
    <col min="5123" max="5360" width="8.85546875" style="5"/>
    <col min="5361" max="5361" width="54.85546875" style="5" customWidth="1"/>
    <col min="5362" max="5362" width="7" style="5" customWidth="1"/>
    <col min="5363" max="5363" width="21.7109375" style="5" customWidth="1"/>
    <col min="5364" max="5364" width="16.28515625" style="5" customWidth="1"/>
    <col min="5365" max="5365" width="15.28515625" style="5" customWidth="1"/>
    <col min="5366" max="5366" width="15.42578125" style="5" customWidth="1"/>
    <col min="5367" max="5378" width="0" style="5" hidden="1" customWidth="1"/>
    <col min="5379" max="5616" width="8.85546875" style="5"/>
    <col min="5617" max="5617" width="54.85546875" style="5" customWidth="1"/>
    <col min="5618" max="5618" width="7" style="5" customWidth="1"/>
    <col min="5619" max="5619" width="21.7109375" style="5" customWidth="1"/>
    <col min="5620" max="5620" width="16.28515625" style="5" customWidth="1"/>
    <col min="5621" max="5621" width="15.28515625" style="5" customWidth="1"/>
    <col min="5622" max="5622" width="15.42578125" style="5" customWidth="1"/>
    <col min="5623" max="5634" width="0" style="5" hidden="1" customWidth="1"/>
    <col min="5635" max="5872" width="8.85546875" style="5"/>
    <col min="5873" max="5873" width="54.85546875" style="5" customWidth="1"/>
    <col min="5874" max="5874" width="7" style="5" customWidth="1"/>
    <col min="5875" max="5875" width="21.7109375" style="5" customWidth="1"/>
    <col min="5876" max="5876" width="16.28515625" style="5" customWidth="1"/>
    <col min="5877" max="5877" width="15.28515625" style="5" customWidth="1"/>
    <col min="5878" max="5878" width="15.42578125" style="5" customWidth="1"/>
    <col min="5879" max="5890" width="0" style="5" hidden="1" customWidth="1"/>
    <col min="5891" max="6128" width="8.85546875" style="5"/>
    <col min="6129" max="6129" width="54.85546875" style="5" customWidth="1"/>
    <col min="6130" max="6130" width="7" style="5" customWidth="1"/>
    <col min="6131" max="6131" width="21.7109375" style="5" customWidth="1"/>
    <col min="6132" max="6132" width="16.28515625" style="5" customWidth="1"/>
    <col min="6133" max="6133" width="15.28515625" style="5" customWidth="1"/>
    <col min="6134" max="6134" width="15.42578125" style="5" customWidth="1"/>
    <col min="6135" max="6146" width="0" style="5" hidden="1" customWidth="1"/>
    <col min="6147" max="6384" width="8.85546875" style="5"/>
    <col min="6385" max="6385" width="54.85546875" style="5" customWidth="1"/>
    <col min="6386" max="6386" width="7" style="5" customWidth="1"/>
    <col min="6387" max="6387" width="21.7109375" style="5" customWidth="1"/>
    <col min="6388" max="6388" width="16.28515625" style="5" customWidth="1"/>
    <col min="6389" max="6389" width="15.28515625" style="5" customWidth="1"/>
    <col min="6390" max="6390" width="15.42578125" style="5" customWidth="1"/>
    <col min="6391" max="6402" width="0" style="5" hidden="1" customWidth="1"/>
    <col min="6403" max="6640" width="8.85546875" style="5"/>
    <col min="6641" max="6641" width="54.85546875" style="5" customWidth="1"/>
    <col min="6642" max="6642" width="7" style="5" customWidth="1"/>
    <col min="6643" max="6643" width="21.7109375" style="5" customWidth="1"/>
    <col min="6644" max="6644" width="16.28515625" style="5" customWidth="1"/>
    <col min="6645" max="6645" width="15.28515625" style="5" customWidth="1"/>
    <col min="6646" max="6646" width="15.42578125" style="5" customWidth="1"/>
    <col min="6647" max="6658" width="0" style="5" hidden="1" customWidth="1"/>
    <col min="6659" max="6896" width="8.85546875" style="5"/>
    <col min="6897" max="6897" width="54.85546875" style="5" customWidth="1"/>
    <col min="6898" max="6898" width="7" style="5" customWidth="1"/>
    <col min="6899" max="6899" width="21.7109375" style="5" customWidth="1"/>
    <col min="6900" max="6900" width="16.28515625" style="5" customWidth="1"/>
    <col min="6901" max="6901" width="15.28515625" style="5" customWidth="1"/>
    <col min="6902" max="6902" width="15.42578125" style="5" customWidth="1"/>
    <col min="6903" max="6914" width="0" style="5" hidden="1" customWidth="1"/>
    <col min="6915" max="7152" width="8.85546875" style="5"/>
    <col min="7153" max="7153" width="54.85546875" style="5" customWidth="1"/>
    <col min="7154" max="7154" width="7" style="5" customWidth="1"/>
    <col min="7155" max="7155" width="21.7109375" style="5" customWidth="1"/>
    <col min="7156" max="7156" width="16.28515625" style="5" customWidth="1"/>
    <col min="7157" max="7157" width="15.28515625" style="5" customWidth="1"/>
    <col min="7158" max="7158" width="15.42578125" style="5" customWidth="1"/>
    <col min="7159" max="7170" width="0" style="5" hidden="1" customWidth="1"/>
    <col min="7171" max="7408" width="8.85546875" style="5"/>
    <col min="7409" max="7409" width="54.85546875" style="5" customWidth="1"/>
    <col min="7410" max="7410" width="7" style="5" customWidth="1"/>
    <col min="7411" max="7411" width="21.7109375" style="5" customWidth="1"/>
    <col min="7412" max="7412" width="16.28515625" style="5" customWidth="1"/>
    <col min="7413" max="7413" width="15.28515625" style="5" customWidth="1"/>
    <col min="7414" max="7414" width="15.42578125" style="5" customWidth="1"/>
    <col min="7415" max="7426" width="0" style="5" hidden="1" customWidth="1"/>
    <col min="7427" max="7664" width="8.85546875" style="5"/>
    <col min="7665" max="7665" width="54.85546875" style="5" customWidth="1"/>
    <col min="7666" max="7666" width="7" style="5" customWidth="1"/>
    <col min="7667" max="7667" width="21.7109375" style="5" customWidth="1"/>
    <col min="7668" max="7668" width="16.28515625" style="5" customWidth="1"/>
    <col min="7669" max="7669" width="15.28515625" style="5" customWidth="1"/>
    <col min="7670" max="7670" width="15.42578125" style="5" customWidth="1"/>
    <col min="7671" max="7682" width="0" style="5" hidden="1" customWidth="1"/>
    <col min="7683" max="7920" width="8.85546875" style="5"/>
    <col min="7921" max="7921" width="54.85546875" style="5" customWidth="1"/>
    <col min="7922" max="7922" width="7" style="5" customWidth="1"/>
    <col min="7923" max="7923" width="21.7109375" style="5" customWidth="1"/>
    <col min="7924" max="7924" width="16.28515625" style="5" customWidth="1"/>
    <col min="7925" max="7925" width="15.28515625" style="5" customWidth="1"/>
    <col min="7926" max="7926" width="15.42578125" style="5" customWidth="1"/>
    <col min="7927" max="7938" width="0" style="5" hidden="1" customWidth="1"/>
    <col min="7939" max="8176" width="8.85546875" style="5"/>
    <col min="8177" max="8177" width="54.85546875" style="5" customWidth="1"/>
    <col min="8178" max="8178" width="7" style="5" customWidth="1"/>
    <col min="8179" max="8179" width="21.7109375" style="5" customWidth="1"/>
    <col min="8180" max="8180" width="16.28515625" style="5" customWidth="1"/>
    <col min="8181" max="8181" width="15.28515625" style="5" customWidth="1"/>
    <col min="8182" max="8182" width="15.42578125" style="5" customWidth="1"/>
    <col min="8183" max="8194" width="0" style="5" hidden="1" customWidth="1"/>
    <col min="8195" max="8432" width="8.85546875" style="5"/>
    <col min="8433" max="8433" width="54.85546875" style="5" customWidth="1"/>
    <col min="8434" max="8434" width="7" style="5" customWidth="1"/>
    <col min="8435" max="8435" width="21.7109375" style="5" customWidth="1"/>
    <col min="8436" max="8436" width="16.28515625" style="5" customWidth="1"/>
    <col min="8437" max="8437" width="15.28515625" style="5" customWidth="1"/>
    <col min="8438" max="8438" width="15.42578125" style="5" customWidth="1"/>
    <col min="8439" max="8450" width="0" style="5" hidden="1" customWidth="1"/>
    <col min="8451" max="8688" width="8.85546875" style="5"/>
    <col min="8689" max="8689" width="54.85546875" style="5" customWidth="1"/>
    <col min="8690" max="8690" width="7" style="5" customWidth="1"/>
    <col min="8691" max="8691" width="21.7109375" style="5" customWidth="1"/>
    <col min="8692" max="8692" width="16.28515625" style="5" customWidth="1"/>
    <col min="8693" max="8693" width="15.28515625" style="5" customWidth="1"/>
    <col min="8694" max="8694" width="15.42578125" style="5" customWidth="1"/>
    <col min="8695" max="8706" width="0" style="5" hidden="1" customWidth="1"/>
    <col min="8707" max="8944" width="8.85546875" style="5"/>
    <col min="8945" max="8945" width="54.85546875" style="5" customWidth="1"/>
    <col min="8946" max="8946" width="7" style="5" customWidth="1"/>
    <col min="8947" max="8947" width="21.7109375" style="5" customWidth="1"/>
    <col min="8948" max="8948" width="16.28515625" style="5" customWidth="1"/>
    <col min="8949" max="8949" width="15.28515625" style="5" customWidth="1"/>
    <col min="8950" max="8950" width="15.42578125" style="5" customWidth="1"/>
    <col min="8951" max="8962" width="0" style="5" hidden="1" customWidth="1"/>
    <col min="8963" max="9200" width="8.85546875" style="5"/>
    <col min="9201" max="9201" width="54.85546875" style="5" customWidth="1"/>
    <col min="9202" max="9202" width="7" style="5" customWidth="1"/>
    <col min="9203" max="9203" width="21.7109375" style="5" customWidth="1"/>
    <col min="9204" max="9204" width="16.28515625" style="5" customWidth="1"/>
    <col min="9205" max="9205" width="15.28515625" style="5" customWidth="1"/>
    <col min="9206" max="9206" width="15.42578125" style="5" customWidth="1"/>
    <col min="9207" max="9218" width="0" style="5" hidden="1" customWidth="1"/>
    <col min="9219" max="9456" width="8.85546875" style="5"/>
    <col min="9457" max="9457" width="54.85546875" style="5" customWidth="1"/>
    <col min="9458" max="9458" width="7" style="5" customWidth="1"/>
    <col min="9459" max="9459" width="21.7109375" style="5" customWidth="1"/>
    <col min="9460" max="9460" width="16.28515625" style="5" customWidth="1"/>
    <col min="9461" max="9461" width="15.28515625" style="5" customWidth="1"/>
    <col min="9462" max="9462" width="15.42578125" style="5" customWidth="1"/>
    <col min="9463" max="9474" width="0" style="5" hidden="1" customWidth="1"/>
    <col min="9475" max="9712" width="8.85546875" style="5"/>
    <col min="9713" max="9713" width="54.85546875" style="5" customWidth="1"/>
    <col min="9714" max="9714" width="7" style="5" customWidth="1"/>
    <col min="9715" max="9715" width="21.7109375" style="5" customWidth="1"/>
    <col min="9716" max="9716" width="16.28515625" style="5" customWidth="1"/>
    <col min="9717" max="9717" width="15.28515625" style="5" customWidth="1"/>
    <col min="9718" max="9718" width="15.42578125" style="5" customWidth="1"/>
    <col min="9719" max="9730" width="0" style="5" hidden="1" customWidth="1"/>
    <col min="9731" max="9968" width="8.85546875" style="5"/>
    <col min="9969" max="9969" width="54.85546875" style="5" customWidth="1"/>
    <col min="9970" max="9970" width="7" style="5" customWidth="1"/>
    <col min="9971" max="9971" width="21.7109375" style="5" customWidth="1"/>
    <col min="9972" max="9972" width="16.28515625" style="5" customWidth="1"/>
    <col min="9973" max="9973" width="15.28515625" style="5" customWidth="1"/>
    <col min="9974" max="9974" width="15.42578125" style="5" customWidth="1"/>
    <col min="9975" max="9986" width="0" style="5" hidden="1" customWidth="1"/>
    <col min="9987" max="10224" width="8.85546875" style="5"/>
    <col min="10225" max="10225" width="54.85546875" style="5" customWidth="1"/>
    <col min="10226" max="10226" width="7" style="5" customWidth="1"/>
    <col min="10227" max="10227" width="21.7109375" style="5" customWidth="1"/>
    <col min="10228" max="10228" width="16.28515625" style="5" customWidth="1"/>
    <col min="10229" max="10229" width="15.28515625" style="5" customWidth="1"/>
    <col min="10230" max="10230" width="15.42578125" style="5" customWidth="1"/>
    <col min="10231" max="10242" width="0" style="5" hidden="1" customWidth="1"/>
    <col min="10243" max="10480" width="8.85546875" style="5"/>
    <col min="10481" max="10481" width="54.85546875" style="5" customWidth="1"/>
    <col min="10482" max="10482" width="7" style="5" customWidth="1"/>
    <col min="10483" max="10483" width="21.7109375" style="5" customWidth="1"/>
    <col min="10484" max="10484" width="16.28515625" style="5" customWidth="1"/>
    <col min="10485" max="10485" width="15.28515625" style="5" customWidth="1"/>
    <col min="10486" max="10486" width="15.42578125" style="5" customWidth="1"/>
    <col min="10487" max="10498" width="0" style="5" hidden="1" customWidth="1"/>
    <col min="10499" max="10736" width="8.85546875" style="5"/>
    <col min="10737" max="10737" width="54.85546875" style="5" customWidth="1"/>
    <col min="10738" max="10738" width="7" style="5" customWidth="1"/>
    <col min="10739" max="10739" width="21.7109375" style="5" customWidth="1"/>
    <col min="10740" max="10740" width="16.28515625" style="5" customWidth="1"/>
    <col min="10741" max="10741" width="15.28515625" style="5" customWidth="1"/>
    <col min="10742" max="10742" width="15.42578125" style="5" customWidth="1"/>
    <col min="10743" max="10754" width="0" style="5" hidden="1" customWidth="1"/>
    <col min="10755" max="10992" width="8.85546875" style="5"/>
    <col min="10993" max="10993" width="54.85546875" style="5" customWidth="1"/>
    <col min="10994" max="10994" width="7" style="5" customWidth="1"/>
    <col min="10995" max="10995" width="21.7109375" style="5" customWidth="1"/>
    <col min="10996" max="10996" width="16.28515625" style="5" customWidth="1"/>
    <col min="10997" max="10997" width="15.28515625" style="5" customWidth="1"/>
    <col min="10998" max="10998" width="15.42578125" style="5" customWidth="1"/>
    <col min="10999" max="11010" width="0" style="5" hidden="1" customWidth="1"/>
    <col min="11011" max="11248" width="8.85546875" style="5"/>
    <col min="11249" max="11249" width="54.85546875" style="5" customWidth="1"/>
    <col min="11250" max="11250" width="7" style="5" customWidth="1"/>
    <col min="11251" max="11251" width="21.7109375" style="5" customWidth="1"/>
    <col min="11252" max="11252" width="16.28515625" style="5" customWidth="1"/>
    <col min="11253" max="11253" width="15.28515625" style="5" customWidth="1"/>
    <col min="11254" max="11254" width="15.42578125" style="5" customWidth="1"/>
    <col min="11255" max="11266" width="0" style="5" hidden="1" customWidth="1"/>
    <col min="11267" max="11504" width="8.85546875" style="5"/>
    <col min="11505" max="11505" width="54.85546875" style="5" customWidth="1"/>
    <col min="11506" max="11506" width="7" style="5" customWidth="1"/>
    <col min="11507" max="11507" width="21.7109375" style="5" customWidth="1"/>
    <col min="11508" max="11508" width="16.28515625" style="5" customWidth="1"/>
    <col min="11509" max="11509" width="15.28515625" style="5" customWidth="1"/>
    <col min="11510" max="11510" width="15.42578125" style="5" customWidth="1"/>
    <col min="11511" max="11522" width="0" style="5" hidden="1" customWidth="1"/>
    <col min="11523" max="11760" width="8.85546875" style="5"/>
    <col min="11761" max="11761" width="54.85546875" style="5" customWidth="1"/>
    <col min="11762" max="11762" width="7" style="5" customWidth="1"/>
    <col min="11763" max="11763" width="21.7109375" style="5" customWidth="1"/>
    <col min="11764" max="11764" width="16.28515625" style="5" customWidth="1"/>
    <col min="11765" max="11765" width="15.28515625" style="5" customWidth="1"/>
    <col min="11766" max="11766" width="15.42578125" style="5" customWidth="1"/>
    <col min="11767" max="11778" width="0" style="5" hidden="1" customWidth="1"/>
    <col min="11779" max="12016" width="8.85546875" style="5"/>
    <col min="12017" max="12017" width="54.85546875" style="5" customWidth="1"/>
    <col min="12018" max="12018" width="7" style="5" customWidth="1"/>
    <col min="12019" max="12019" width="21.7109375" style="5" customWidth="1"/>
    <col min="12020" max="12020" width="16.28515625" style="5" customWidth="1"/>
    <col min="12021" max="12021" width="15.28515625" style="5" customWidth="1"/>
    <col min="12022" max="12022" width="15.42578125" style="5" customWidth="1"/>
    <col min="12023" max="12034" width="0" style="5" hidden="1" customWidth="1"/>
    <col min="12035" max="12272" width="8.85546875" style="5"/>
    <col min="12273" max="12273" width="54.85546875" style="5" customWidth="1"/>
    <col min="12274" max="12274" width="7" style="5" customWidth="1"/>
    <col min="12275" max="12275" width="21.7109375" style="5" customWidth="1"/>
    <col min="12276" max="12276" width="16.28515625" style="5" customWidth="1"/>
    <col min="12277" max="12277" width="15.28515625" style="5" customWidth="1"/>
    <col min="12278" max="12278" width="15.42578125" style="5" customWidth="1"/>
    <col min="12279" max="12290" width="0" style="5" hidden="1" customWidth="1"/>
    <col min="12291" max="12528" width="8.85546875" style="5"/>
    <col min="12529" max="12529" width="54.85546875" style="5" customWidth="1"/>
    <col min="12530" max="12530" width="7" style="5" customWidth="1"/>
    <col min="12531" max="12531" width="21.7109375" style="5" customWidth="1"/>
    <col min="12532" max="12532" width="16.28515625" style="5" customWidth="1"/>
    <col min="12533" max="12533" width="15.28515625" style="5" customWidth="1"/>
    <col min="12534" max="12534" width="15.42578125" style="5" customWidth="1"/>
    <col min="12535" max="12546" width="0" style="5" hidden="1" customWidth="1"/>
    <col min="12547" max="12784" width="8.85546875" style="5"/>
    <col min="12785" max="12785" width="54.85546875" style="5" customWidth="1"/>
    <col min="12786" max="12786" width="7" style="5" customWidth="1"/>
    <col min="12787" max="12787" width="21.7109375" style="5" customWidth="1"/>
    <col min="12788" max="12788" width="16.28515625" style="5" customWidth="1"/>
    <col min="12789" max="12789" width="15.28515625" style="5" customWidth="1"/>
    <col min="12790" max="12790" width="15.42578125" style="5" customWidth="1"/>
    <col min="12791" max="12802" width="0" style="5" hidden="1" customWidth="1"/>
    <col min="12803" max="13040" width="8.85546875" style="5"/>
    <col min="13041" max="13041" width="54.85546875" style="5" customWidth="1"/>
    <col min="13042" max="13042" width="7" style="5" customWidth="1"/>
    <col min="13043" max="13043" width="21.7109375" style="5" customWidth="1"/>
    <col min="13044" max="13044" width="16.28515625" style="5" customWidth="1"/>
    <col min="13045" max="13045" width="15.28515625" style="5" customWidth="1"/>
    <col min="13046" max="13046" width="15.42578125" style="5" customWidth="1"/>
    <col min="13047" max="13058" width="0" style="5" hidden="1" customWidth="1"/>
    <col min="13059" max="13296" width="8.85546875" style="5"/>
    <col min="13297" max="13297" width="54.85546875" style="5" customWidth="1"/>
    <col min="13298" max="13298" width="7" style="5" customWidth="1"/>
    <col min="13299" max="13299" width="21.7109375" style="5" customWidth="1"/>
    <col min="13300" max="13300" width="16.28515625" style="5" customWidth="1"/>
    <col min="13301" max="13301" width="15.28515625" style="5" customWidth="1"/>
    <col min="13302" max="13302" width="15.42578125" style="5" customWidth="1"/>
    <col min="13303" max="13314" width="0" style="5" hidden="1" customWidth="1"/>
    <col min="13315" max="13552" width="8.85546875" style="5"/>
    <col min="13553" max="13553" width="54.85546875" style="5" customWidth="1"/>
    <col min="13554" max="13554" width="7" style="5" customWidth="1"/>
    <col min="13555" max="13555" width="21.7109375" style="5" customWidth="1"/>
    <col min="13556" max="13556" width="16.28515625" style="5" customWidth="1"/>
    <col min="13557" max="13557" width="15.28515625" style="5" customWidth="1"/>
    <col min="13558" max="13558" width="15.42578125" style="5" customWidth="1"/>
    <col min="13559" max="13570" width="0" style="5" hidden="1" customWidth="1"/>
    <col min="13571" max="13808" width="8.85546875" style="5"/>
    <col min="13809" max="13809" width="54.85546875" style="5" customWidth="1"/>
    <col min="13810" max="13810" width="7" style="5" customWidth="1"/>
    <col min="13811" max="13811" width="21.7109375" style="5" customWidth="1"/>
    <col min="13812" max="13812" width="16.28515625" style="5" customWidth="1"/>
    <col min="13813" max="13813" width="15.28515625" style="5" customWidth="1"/>
    <col min="13814" max="13814" width="15.42578125" style="5" customWidth="1"/>
    <col min="13815" max="13826" width="0" style="5" hidden="1" customWidth="1"/>
    <col min="13827" max="14064" width="8.85546875" style="5"/>
    <col min="14065" max="14065" width="54.85546875" style="5" customWidth="1"/>
    <col min="14066" max="14066" width="7" style="5" customWidth="1"/>
    <col min="14067" max="14067" width="21.7109375" style="5" customWidth="1"/>
    <col min="14068" max="14068" width="16.28515625" style="5" customWidth="1"/>
    <col min="14069" max="14069" width="15.28515625" style="5" customWidth="1"/>
    <col min="14070" max="14070" width="15.42578125" style="5" customWidth="1"/>
    <col min="14071" max="14082" width="0" style="5" hidden="1" customWidth="1"/>
    <col min="14083" max="14320" width="8.85546875" style="5"/>
    <col min="14321" max="14321" width="54.85546875" style="5" customWidth="1"/>
    <col min="14322" max="14322" width="7" style="5" customWidth="1"/>
    <col min="14323" max="14323" width="21.7109375" style="5" customWidth="1"/>
    <col min="14324" max="14324" width="16.28515625" style="5" customWidth="1"/>
    <col min="14325" max="14325" width="15.28515625" style="5" customWidth="1"/>
    <col min="14326" max="14326" width="15.42578125" style="5" customWidth="1"/>
    <col min="14327" max="14338" width="0" style="5" hidden="1" customWidth="1"/>
    <col min="14339" max="14576" width="8.85546875" style="5"/>
    <col min="14577" max="14577" width="54.85546875" style="5" customWidth="1"/>
    <col min="14578" max="14578" width="7" style="5" customWidth="1"/>
    <col min="14579" max="14579" width="21.7109375" style="5" customWidth="1"/>
    <col min="14580" max="14580" width="16.28515625" style="5" customWidth="1"/>
    <col min="14581" max="14581" width="15.28515625" style="5" customWidth="1"/>
    <col min="14582" max="14582" width="15.42578125" style="5" customWidth="1"/>
    <col min="14583" max="14594" width="0" style="5" hidden="1" customWidth="1"/>
    <col min="14595" max="14832" width="8.85546875" style="5"/>
    <col min="14833" max="14833" width="54.85546875" style="5" customWidth="1"/>
    <col min="14834" max="14834" width="7" style="5" customWidth="1"/>
    <col min="14835" max="14835" width="21.7109375" style="5" customWidth="1"/>
    <col min="14836" max="14836" width="16.28515625" style="5" customWidth="1"/>
    <col min="14837" max="14837" width="15.28515625" style="5" customWidth="1"/>
    <col min="14838" max="14838" width="15.42578125" style="5" customWidth="1"/>
    <col min="14839" max="14850" width="0" style="5" hidden="1" customWidth="1"/>
    <col min="14851" max="15088" width="8.85546875" style="5"/>
    <col min="15089" max="15089" width="54.85546875" style="5" customWidth="1"/>
    <col min="15090" max="15090" width="7" style="5" customWidth="1"/>
    <col min="15091" max="15091" width="21.7109375" style="5" customWidth="1"/>
    <col min="15092" max="15092" width="16.28515625" style="5" customWidth="1"/>
    <col min="15093" max="15093" width="15.28515625" style="5" customWidth="1"/>
    <col min="15094" max="15094" width="15.42578125" style="5" customWidth="1"/>
    <col min="15095" max="15106" width="0" style="5" hidden="1" customWidth="1"/>
    <col min="15107" max="15344" width="8.85546875" style="5"/>
    <col min="15345" max="15345" width="54.85546875" style="5" customWidth="1"/>
    <col min="15346" max="15346" width="7" style="5" customWidth="1"/>
    <col min="15347" max="15347" width="21.7109375" style="5" customWidth="1"/>
    <col min="15348" max="15348" width="16.28515625" style="5" customWidth="1"/>
    <col min="15349" max="15349" width="15.28515625" style="5" customWidth="1"/>
    <col min="15350" max="15350" width="15.42578125" style="5" customWidth="1"/>
    <col min="15351" max="15362" width="0" style="5" hidden="1" customWidth="1"/>
    <col min="15363" max="15600" width="8.85546875" style="5"/>
    <col min="15601" max="15601" width="54.85546875" style="5" customWidth="1"/>
    <col min="15602" max="15602" width="7" style="5" customWidth="1"/>
    <col min="15603" max="15603" width="21.7109375" style="5" customWidth="1"/>
    <col min="15604" max="15604" width="16.28515625" style="5" customWidth="1"/>
    <col min="15605" max="15605" width="15.28515625" style="5" customWidth="1"/>
    <col min="15606" max="15606" width="15.42578125" style="5" customWidth="1"/>
    <col min="15607" max="15618" width="0" style="5" hidden="1" customWidth="1"/>
    <col min="15619" max="15856" width="8.85546875" style="5"/>
    <col min="15857" max="15857" width="54.85546875" style="5" customWidth="1"/>
    <col min="15858" max="15858" width="7" style="5" customWidth="1"/>
    <col min="15859" max="15859" width="21.7109375" style="5" customWidth="1"/>
    <col min="15860" max="15860" width="16.28515625" style="5" customWidth="1"/>
    <col min="15861" max="15861" width="15.28515625" style="5" customWidth="1"/>
    <col min="15862" max="15862" width="15.42578125" style="5" customWidth="1"/>
    <col min="15863" max="15874" width="0" style="5" hidden="1" customWidth="1"/>
    <col min="15875" max="16112" width="8.85546875" style="5"/>
    <col min="16113" max="16113" width="54.85546875" style="5" customWidth="1"/>
    <col min="16114" max="16114" width="7" style="5" customWidth="1"/>
    <col min="16115" max="16115" width="21.7109375" style="5" customWidth="1"/>
    <col min="16116" max="16116" width="16.28515625" style="5" customWidth="1"/>
    <col min="16117" max="16117" width="15.28515625" style="5" customWidth="1"/>
    <col min="16118" max="16118" width="15.42578125" style="5" customWidth="1"/>
    <col min="16119" max="16130" width="0" style="5" hidden="1" customWidth="1"/>
    <col min="16131" max="16384" width="8.85546875" style="5"/>
  </cols>
  <sheetData>
    <row r="1" spans="1:42" ht="30" customHeight="1">
      <c r="B1" s="3"/>
      <c r="C1" s="4"/>
      <c r="D1" s="122" t="s">
        <v>492</v>
      </c>
      <c r="E1" s="122"/>
      <c r="F1" s="122"/>
    </row>
    <row r="2" spans="1:42" ht="30" customHeight="1">
      <c r="B2" s="8"/>
      <c r="C2" s="4"/>
      <c r="D2" s="122"/>
      <c r="E2" s="122"/>
      <c r="F2" s="122"/>
    </row>
    <row r="3" spans="1:42" ht="23.25" customHeight="1">
      <c r="B3" s="8"/>
      <c r="C3" s="4"/>
      <c r="D3" s="122"/>
      <c r="E3" s="122"/>
      <c r="F3" s="122"/>
    </row>
    <row r="4" spans="1:42" ht="30" customHeight="1">
      <c r="B4" s="8"/>
      <c r="C4" s="4"/>
      <c r="D4" s="122"/>
      <c r="E4" s="122"/>
      <c r="F4" s="122"/>
    </row>
    <row r="5" spans="1:42" ht="2.25" customHeight="1">
      <c r="B5" s="8"/>
      <c r="C5" s="4"/>
      <c r="D5" s="122"/>
      <c r="E5" s="122"/>
      <c r="F5" s="122"/>
    </row>
    <row r="6" spans="1:42" s="9" customFormat="1" ht="39.75" customHeight="1">
      <c r="A6" s="123" t="s">
        <v>273</v>
      </c>
      <c r="B6" s="123"/>
      <c r="C6" s="123"/>
      <c r="D6" s="123"/>
      <c r="E6" s="123"/>
      <c r="F6" s="123"/>
      <c r="U6" s="10"/>
      <c r="V6" s="10"/>
      <c r="W6" s="11"/>
      <c r="AD6" s="7"/>
      <c r="AE6" s="7"/>
      <c r="AF6" s="7"/>
      <c r="AG6" s="7"/>
      <c r="AH6" s="7"/>
      <c r="AI6" s="7"/>
      <c r="AJ6" s="10"/>
      <c r="AK6" s="10"/>
      <c r="AL6" s="10"/>
    </row>
    <row r="7" spans="1:42" ht="30" customHeight="1">
      <c r="B7" s="12"/>
      <c r="C7" s="12"/>
      <c r="F7" s="14" t="s">
        <v>0</v>
      </c>
    </row>
    <row r="8" spans="1:42" ht="30" customHeight="1">
      <c r="A8" s="124" t="s">
        <v>1</v>
      </c>
      <c r="B8" s="125" t="s">
        <v>2</v>
      </c>
      <c r="C8" s="125"/>
      <c r="D8" s="126" t="s">
        <v>3</v>
      </c>
      <c r="E8" s="126" t="s">
        <v>224</v>
      </c>
      <c r="F8" s="126" t="s">
        <v>274</v>
      </c>
    </row>
    <row r="9" spans="1:42" ht="42.6" customHeight="1">
      <c r="A9" s="124"/>
      <c r="B9" s="15" t="s">
        <v>4</v>
      </c>
      <c r="C9" s="15" t="s">
        <v>5</v>
      </c>
      <c r="D9" s="126"/>
      <c r="E9" s="126"/>
      <c r="F9" s="126"/>
    </row>
    <row r="10" spans="1:42" ht="21" customHeight="1">
      <c r="A10" s="16" t="s">
        <v>6</v>
      </c>
      <c r="B10" s="17" t="s">
        <v>7</v>
      </c>
      <c r="C10" s="18" t="s">
        <v>8</v>
      </c>
      <c r="D10" s="1">
        <f>+D11+D17+D27+D40+D48+D55+D58+D82+D92+D104+D113+D170</f>
        <v>852086481</v>
      </c>
      <c r="E10" s="1">
        <f>+E11+E17+E27+E40+E48+E55+E58+E82+E92+E104+E113+E170</f>
        <v>826367303</v>
      </c>
      <c r="F10" s="1">
        <f>+F11+F17+F27+F40+F48+F55+F58+F82+F92+F104+F113+F170</f>
        <v>860220358</v>
      </c>
      <c r="U10" s="121"/>
      <c r="V10" s="121"/>
      <c r="W10" s="121"/>
      <c r="AP10" s="13">
        <f>852086481-D10</f>
        <v>0</v>
      </c>
    </row>
    <row r="11" spans="1:42" s="20" customFormat="1" ht="22.5" customHeight="1">
      <c r="A11" s="16" t="s">
        <v>9</v>
      </c>
      <c r="B11" s="17" t="s">
        <v>7</v>
      </c>
      <c r="C11" s="19" t="s">
        <v>10</v>
      </c>
      <c r="D11" s="1">
        <f>+D12</f>
        <v>471744000</v>
      </c>
      <c r="E11" s="1">
        <f>+E12</f>
        <v>506179000</v>
      </c>
      <c r="F11" s="1">
        <f>+F12</f>
        <v>544886000</v>
      </c>
      <c r="U11" s="21"/>
      <c r="V11" s="21"/>
      <c r="W11" s="21"/>
      <c r="X11" s="22"/>
      <c r="Y11" s="22"/>
      <c r="AD11" s="23"/>
      <c r="AE11" s="23"/>
      <c r="AF11" s="23"/>
      <c r="AG11" s="23"/>
      <c r="AH11" s="23"/>
      <c r="AI11" s="23"/>
      <c r="AJ11" s="24"/>
      <c r="AK11" s="24"/>
      <c r="AL11" s="24"/>
    </row>
    <row r="12" spans="1:42" s="25" customFormat="1" ht="22.5" customHeight="1">
      <c r="A12" s="16" t="s">
        <v>11</v>
      </c>
      <c r="B12" s="17" t="s">
        <v>7</v>
      </c>
      <c r="C12" s="19" t="s">
        <v>12</v>
      </c>
      <c r="D12" s="1">
        <f>+D13+D14+D16+D15</f>
        <v>471744000</v>
      </c>
      <c r="E12" s="1">
        <f>+E13+E14+E16+E15</f>
        <v>506179000</v>
      </c>
      <c r="F12" s="1">
        <f>+F13+F14+F16+F15</f>
        <v>544886000</v>
      </c>
      <c r="U12" s="121"/>
      <c r="V12" s="121"/>
      <c r="W12" s="121"/>
      <c r="X12" s="5"/>
      <c r="Y12" s="5"/>
      <c r="AD12" s="23"/>
      <c r="AE12" s="23"/>
      <c r="AF12" s="23"/>
      <c r="AG12" s="23"/>
      <c r="AH12" s="23"/>
      <c r="AI12" s="23"/>
      <c r="AJ12" s="26"/>
      <c r="AK12" s="26"/>
      <c r="AL12" s="26"/>
    </row>
    <row r="13" spans="1:42" ht="70.900000000000006" customHeight="1">
      <c r="A13" s="27" t="s">
        <v>13</v>
      </c>
      <c r="B13" s="28" t="s">
        <v>14</v>
      </c>
      <c r="C13" s="28" t="s">
        <v>15</v>
      </c>
      <c r="D13" s="1">
        <v>454497000</v>
      </c>
      <c r="E13" s="1">
        <v>488604000</v>
      </c>
      <c r="F13" s="1">
        <v>526910000</v>
      </c>
      <c r="U13" s="29"/>
      <c r="V13" s="29"/>
      <c r="W13" s="30"/>
    </row>
    <row r="14" spans="1:42" ht="96" customHeight="1">
      <c r="A14" s="27" t="s">
        <v>418</v>
      </c>
      <c r="B14" s="28" t="s">
        <v>14</v>
      </c>
      <c r="C14" s="28" t="s">
        <v>16</v>
      </c>
      <c r="D14" s="1">
        <f>11363000-4366000</f>
        <v>6997000</v>
      </c>
      <c r="E14" s="1">
        <v>11670000</v>
      </c>
      <c r="F14" s="1">
        <v>11985000</v>
      </c>
    </row>
    <row r="15" spans="1:42" ht="45.75" customHeight="1">
      <c r="A15" s="27" t="s">
        <v>419</v>
      </c>
      <c r="B15" s="28" t="s">
        <v>14</v>
      </c>
      <c r="C15" s="28" t="s">
        <v>17</v>
      </c>
      <c r="D15" s="1">
        <f>1024000+2326000</f>
        <v>3350000</v>
      </c>
      <c r="E15" s="1">
        <v>1095000</v>
      </c>
      <c r="F15" s="1">
        <v>1171000</v>
      </c>
    </row>
    <row r="16" spans="1:42" ht="81" customHeight="1">
      <c r="A16" s="27" t="s">
        <v>420</v>
      </c>
      <c r="B16" s="28" t="s">
        <v>14</v>
      </c>
      <c r="C16" s="28" t="s">
        <v>18</v>
      </c>
      <c r="D16" s="1">
        <f>4800000+2100000</f>
        <v>6900000</v>
      </c>
      <c r="E16" s="1">
        <v>4810000</v>
      </c>
      <c r="F16" s="1">
        <v>4820000</v>
      </c>
    </row>
    <row r="17" spans="1:38" ht="30" customHeight="1">
      <c r="A17" s="27" t="s">
        <v>19</v>
      </c>
      <c r="B17" s="28" t="s">
        <v>7</v>
      </c>
      <c r="C17" s="28" t="s">
        <v>20</v>
      </c>
      <c r="D17" s="1">
        <f>+D18</f>
        <v>9357766</v>
      </c>
      <c r="E17" s="1">
        <f>+E18</f>
        <v>9449303</v>
      </c>
      <c r="F17" s="1">
        <f>+F18</f>
        <v>9904358</v>
      </c>
    </row>
    <row r="18" spans="1:38" ht="30" customHeight="1">
      <c r="A18" s="27" t="s">
        <v>21</v>
      </c>
      <c r="B18" s="28" t="s">
        <v>7</v>
      </c>
      <c r="C18" s="28" t="s">
        <v>22</v>
      </c>
      <c r="D18" s="1">
        <f>+D19+D21+D23+D25</f>
        <v>9357766</v>
      </c>
      <c r="E18" s="1">
        <f>+E19+E21+E23+E25</f>
        <v>9449303</v>
      </c>
      <c r="F18" s="1">
        <f>+F19+F21+F23+F25</f>
        <v>9904358</v>
      </c>
    </row>
    <row r="19" spans="1:38" ht="64.5" customHeight="1">
      <c r="A19" s="27" t="s">
        <v>247</v>
      </c>
      <c r="B19" s="28" t="s">
        <v>7</v>
      </c>
      <c r="C19" s="28" t="s">
        <v>24</v>
      </c>
      <c r="D19" s="1">
        <f>+D20</f>
        <v>4288055</v>
      </c>
      <c r="E19" s="1">
        <f>+E20</f>
        <v>4355971</v>
      </c>
      <c r="F19" s="1">
        <f>+F20</f>
        <v>4558741</v>
      </c>
    </row>
    <row r="20" spans="1:38" ht="97.5" customHeight="1">
      <c r="A20" s="27" t="s">
        <v>248</v>
      </c>
      <c r="B20" s="31">
        <v>100</v>
      </c>
      <c r="C20" s="32" t="s">
        <v>249</v>
      </c>
      <c r="D20" s="1">
        <v>4288055</v>
      </c>
      <c r="E20" s="1">
        <v>4355971</v>
      </c>
      <c r="F20" s="1">
        <v>4558741</v>
      </c>
    </row>
    <row r="21" spans="1:38" ht="76.5" customHeight="1">
      <c r="A21" s="27" t="s">
        <v>250</v>
      </c>
      <c r="B21" s="28" t="s">
        <v>7</v>
      </c>
      <c r="C21" s="28" t="s">
        <v>25</v>
      </c>
      <c r="D21" s="1">
        <f>+D22</f>
        <v>22087</v>
      </c>
      <c r="E21" s="1">
        <f>+E22</f>
        <v>21859</v>
      </c>
      <c r="F21" s="1">
        <f>+F22</f>
        <v>22477</v>
      </c>
    </row>
    <row r="22" spans="1:38" ht="107.25" customHeight="1">
      <c r="A22" s="27" t="s">
        <v>251</v>
      </c>
      <c r="B22" s="28" t="s">
        <v>23</v>
      </c>
      <c r="C22" s="32" t="s">
        <v>252</v>
      </c>
      <c r="D22" s="1">
        <v>22087</v>
      </c>
      <c r="E22" s="1">
        <v>21859</v>
      </c>
      <c r="F22" s="1">
        <v>22477</v>
      </c>
    </row>
    <row r="23" spans="1:38" ht="62.25" customHeight="1">
      <c r="A23" s="27" t="s">
        <v>26</v>
      </c>
      <c r="B23" s="28" t="s">
        <v>7</v>
      </c>
      <c r="C23" s="28" t="s">
        <v>27</v>
      </c>
      <c r="D23" s="1">
        <f>+D24</f>
        <v>5601006</v>
      </c>
      <c r="E23" s="1">
        <f>+E24</f>
        <v>5673869</v>
      </c>
      <c r="F23" s="1">
        <f>+F24</f>
        <v>5901751</v>
      </c>
    </row>
    <row r="24" spans="1:38" ht="93" customHeight="1">
      <c r="A24" s="27" t="s">
        <v>270</v>
      </c>
      <c r="B24" s="28" t="s">
        <v>23</v>
      </c>
      <c r="C24" s="32" t="s">
        <v>263</v>
      </c>
      <c r="D24" s="1">
        <v>5601006</v>
      </c>
      <c r="E24" s="1">
        <v>5673869</v>
      </c>
      <c r="F24" s="1">
        <v>5901751</v>
      </c>
    </row>
    <row r="25" spans="1:38" ht="59.25" customHeight="1">
      <c r="A25" s="27" t="s">
        <v>253</v>
      </c>
      <c r="B25" s="28" t="s">
        <v>7</v>
      </c>
      <c r="C25" s="28" t="s">
        <v>28</v>
      </c>
      <c r="D25" s="1">
        <f>+D26</f>
        <v>-553382</v>
      </c>
      <c r="E25" s="1">
        <f>+E26</f>
        <v>-602396</v>
      </c>
      <c r="F25" s="1">
        <f>+F26</f>
        <v>-578611</v>
      </c>
    </row>
    <row r="26" spans="1:38" ht="94.5" customHeight="1">
      <c r="A26" s="27" t="s">
        <v>254</v>
      </c>
      <c r="B26" s="28" t="s">
        <v>23</v>
      </c>
      <c r="C26" s="32" t="s">
        <v>435</v>
      </c>
      <c r="D26" s="1">
        <v>-553382</v>
      </c>
      <c r="E26" s="1">
        <v>-602396</v>
      </c>
      <c r="F26" s="1">
        <v>-578611</v>
      </c>
    </row>
    <row r="27" spans="1:38" s="25" customFormat="1" ht="21" customHeight="1">
      <c r="A27" s="16" t="s">
        <v>29</v>
      </c>
      <c r="B27" s="28" t="s">
        <v>7</v>
      </c>
      <c r="C27" s="19" t="s">
        <v>30</v>
      </c>
      <c r="D27" s="1">
        <f>+D33+D36+D38+D28</f>
        <v>149346600</v>
      </c>
      <c r="E27" s="1">
        <f>+E33+E36+E38+E28</f>
        <v>101383000</v>
      </c>
      <c r="F27" s="1">
        <f>+F33+F36+F38+F28</f>
        <v>88253000</v>
      </c>
      <c r="U27" s="6"/>
      <c r="V27" s="6"/>
      <c r="W27" s="115"/>
      <c r="X27" s="5"/>
      <c r="Y27" s="5"/>
      <c r="AD27" s="23"/>
      <c r="AE27" s="23"/>
      <c r="AF27" s="23"/>
      <c r="AG27" s="23"/>
      <c r="AH27" s="23"/>
      <c r="AI27" s="23"/>
      <c r="AJ27" s="26"/>
      <c r="AK27" s="26"/>
      <c r="AL27" s="26"/>
    </row>
    <row r="28" spans="1:38" s="25" customFormat="1" ht="25.5">
      <c r="A28" s="16" t="s">
        <v>31</v>
      </c>
      <c r="B28" s="28" t="s">
        <v>7</v>
      </c>
      <c r="C28" s="33" t="s">
        <v>32</v>
      </c>
      <c r="D28" s="1">
        <f>+D29+D31</f>
        <v>79800000</v>
      </c>
      <c r="E28" s="1">
        <f>+E29+E31</f>
        <v>83700000</v>
      </c>
      <c r="F28" s="1">
        <f>+F29+F31</f>
        <v>87770000</v>
      </c>
      <c r="U28" s="6"/>
      <c r="V28" s="6"/>
      <c r="W28" s="115"/>
      <c r="X28" s="5"/>
      <c r="Y28" s="5"/>
      <c r="AD28" s="23"/>
      <c r="AE28" s="23"/>
      <c r="AF28" s="23"/>
      <c r="AG28" s="23"/>
      <c r="AH28" s="23"/>
      <c r="AI28" s="23"/>
      <c r="AJ28" s="26"/>
      <c r="AK28" s="26"/>
      <c r="AL28" s="26"/>
    </row>
    <row r="29" spans="1:38" s="25" customFormat="1" ht="30" customHeight="1">
      <c r="A29" s="16" t="s">
        <v>33</v>
      </c>
      <c r="B29" s="28" t="s">
        <v>7</v>
      </c>
      <c r="C29" s="33" t="s">
        <v>34</v>
      </c>
      <c r="D29" s="1">
        <f>+D30</f>
        <v>58300000</v>
      </c>
      <c r="E29" s="1">
        <f>+E30</f>
        <v>61000000</v>
      </c>
      <c r="F29" s="1">
        <f>+F30</f>
        <v>63800000</v>
      </c>
      <c r="U29" s="6"/>
      <c r="V29" s="6"/>
      <c r="W29" s="115"/>
      <c r="X29" s="5"/>
      <c r="Y29" s="5"/>
      <c r="AD29" s="23"/>
      <c r="AE29" s="23"/>
      <c r="AF29" s="23"/>
      <c r="AG29" s="23"/>
      <c r="AH29" s="23"/>
      <c r="AI29" s="23"/>
      <c r="AJ29" s="26"/>
      <c r="AK29" s="26"/>
      <c r="AL29" s="26"/>
    </row>
    <row r="30" spans="1:38" s="25" customFormat="1" ht="30" customHeight="1">
      <c r="A30" s="16" t="s">
        <v>33</v>
      </c>
      <c r="B30" s="28" t="s">
        <v>14</v>
      </c>
      <c r="C30" s="33" t="s">
        <v>35</v>
      </c>
      <c r="D30" s="1">
        <v>58300000</v>
      </c>
      <c r="E30" s="1">
        <v>61000000</v>
      </c>
      <c r="F30" s="1">
        <v>63800000</v>
      </c>
      <c r="U30" s="6"/>
      <c r="V30" s="6"/>
      <c r="W30" s="115"/>
      <c r="X30" s="5"/>
      <c r="Y30" s="5"/>
      <c r="AD30" s="23"/>
      <c r="AE30" s="23"/>
      <c r="AF30" s="23"/>
      <c r="AG30" s="23"/>
      <c r="AH30" s="23"/>
      <c r="AI30" s="23"/>
      <c r="AJ30" s="26"/>
      <c r="AK30" s="26"/>
      <c r="AL30" s="26"/>
    </row>
    <row r="31" spans="1:38" s="25" customFormat="1" ht="41.25" customHeight="1">
      <c r="A31" s="16" t="s">
        <v>36</v>
      </c>
      <c r="B31" s="28" t="s">
        <v>7</v>
      </c>
      <c r="C31" s="33" t="s">
        <v>37</v>
      </c>
      <c r="D31" s="1">
        <f>+D32</f>
        <v>21500000</v>
      </c>
      <c r="E31" s="1">
        <f>+E32</f>
        <v>22700000</v>
      </c>
      <c r="F31" s="1">
        <f>+F32</f>
        <v>23970000</v>
      </c>
      <c r="U31" s="6"/>
      <c r="V31" s="6"/>
      <c r="W31" s="115"/>
      <c r="X31" s="5"/>
      <c r="Y31" s="5"/>
      <c r="AD31" s="23"/>
      <c r="AE31" s="23"/>
      <c r="AF31" s="23"/>
      <c r="AG31" s="23"/>
      <c r="AH31" s="23"/>
      <c r="AI31" s="23"/>
      <c r="AJ31" s="26"/>
      <c r="AK31" s="26"/>
      <c r="AL31" s="26"/>
    </row>
    <row r="32" spans="1:38" s="25" customFormat="1" ht="54.75" customHeight="1">
      <c r="A32" s="16" t="s">
        <v>38</v>
      </c>
      <c r="B32" s="28" t="s">
        <v>14</v>
      </c>
      <c r="C32" s="33" t="s">
        <v>39</v>
      </c>
      <c r="D32" s="1">
        <v>21500000</v>
      </c>
      <c r="E32" s="1">
        <v>22700000</v>
      </c>
      <c r="F32" s="1">
        <v>23970000</v>
      </c>
      <c r="U32" s="6"/>
      <c r="V32" s="6"/>
      <c r="W32" s="115"/>
      <c r="X32" s="5"/>
      <c r="Y32" s="5"/>
      <c r="AD32" s="23"/>
      <c r="AE32" s="23"/>
      <c r="AF32" s="23"/>
      <c r="AG32" s="23"/>
      <c r="AH32" s="23"/>
      <c r="AI32" s="23"/>
      <c r="AJ32" s="26"/>
      <c r="AK32" s="26"/>
      <c r="AL32" s="26"/>
    </row>
    <row r="33" spans="1:38" ht="30" customHeight="1">
      <c r="A33" s="16" t="s">
        <v>40</v>
      </c>
      <c r="B33" s="28" t="s">
        <v>7</v>
      </c>
      <c r="C33" s="19" t="s">
        <v>41</v>
      </c>
      <c r="D33" s="1">
        <f>+D34+D35</f>
        <v>68796600</v>
      </c>
      <c r="E33" s="1">
        <f>+E34+E35</f>
        <v>17200000</v>
      </c>
      <c r="F33" s="1">
        <f>+F34+F35</f>
        <v>0</v>
      </c>
    </row>
    <row r="34" spans="1:38" ht="31.5" customHeight="1">
      <c r="A34" s="16" t="s">
        <v>40</v>
      </c>
      <c r="B34" s="28" t="s">
        <v>14</v>
      </c>
      <c r="C34" s="19" t="s">
        <v>42</v>
      </c>
      <c r="D34" s="1">
        <v>68794000</v>
      </c>
      <c r="E34" s="1">
        <v>17200000</v>
      </c>
      <c r="F34" s="1">
        <v>0</v>
      </c>
    </row>
    <row r="35" spans="1:38" ht="45" customHeight="1">
      <c r="A35" s="34" t="s">
        <v>43</v>
      </c>
      <c r="B35" s="28" t="s">
        <v>14</v>
      </c>
      <c r="C35" s="35" t="s">
        <v>44</v>
      </c>
      <c r="D35" s="1">
        <f>1000+1600</f>
        <v>2600</v>
      </c>
      <c r="E35" s="1">
        <v>0</v>
      </c>
      <c r="F35" s="1">
        <v>0</v>
      </c>
    </row>
    <row r="36" spans="1:38" ht="18" customHeight="1">
      <c r="A36" s="34" t="s">
        <v>45</v>
      </c>
      <c r="B36" s="28" t="s">
        <v>7</v>
      </c>
      <c r="C36" s="35" t="s">
        <v>46</v>
      </c>
      <c r="D36" s="1">
        <f>+D37</f>
        <v>200000</v>
      </c>
      <c r="E36" s="1">
        <f>+E37</f>
        <v>13000</v>
      </c>
      <c r="F36" s="1">
        <f>+F37</f>
        <v>13000</v>
      </c>
    </row>
    <row r="37" spans="1:38" ht="18" customHeight="1">
      <c r="A37" s="34" t="s">
        <v>45</v>
      </c>
      <c r="B37" s="28" t="s">
        <v>14</v>
      </c>
      <c r="C37" s="35" t="s">
        <v>47</v>
      </c>
      <c r="D37" s="1">
        <f>13000+187000</f>
        <v>200000</v>
      </c>
      <c r="E37" s="1">
        <v>13000</v>
      </c>
      <c r="F37" s="1">
        <v>13000</v>
      </c>
    </row>
    <row r="38" spans="1:38" ht="30" customHeight="1">
      <c r="A38" s="34" t="s">
        <v>48</v>
      </c>
      <c r="B38" s="28" t="s">
        <v>7</v>
      </c>
      <c r="C38" s="35" t="s">
        <v>49</v>
      </c>
      <c r="D38" s="1">
        <f>+D39</f>
        <v>550000</v>
      </c>
      <c r="E38" s="1">
        <f>+E39</f>
        <v>470000</v>
      </c>
      <c r="F38" s="1">
        <f>+F39</f>
        <v>470000</v>
      </c>
    </row>
    <row r="39" spans="1:38" ht="35.25" customHeight="1">
      <c r="A39" s="34" t="s">
        <v>50</v>
      </c>
      <c r="B39" s="28" t="s">
        <v>14</v>
      </c>
      <c r="C39" s="35" t="s">
        <v>51</v>
      </c>
      <c r="D39" s="1">
        <f>450000+100000</f>
        <v>550000</v>
      </c>
      <c r="E39" s="1">
        <v>470000</v>
      </c>
      <c r="F39" s="1">
        <v>470000</v>
      </c>
    </row>
    <row r="40" spans="1:38" s="25" customFormat="1" ht="15.6" customHeight="1">
      <c r="A40" s="16" t="s">
        <v>52</v>
      </c>
      <c r="B40" s="28" t="s">
        <v>7</v>
      </c>
      <c r="C40" s="19" t="s">
        <v>53</v>
      </c>
      <c r="D40" s="1">
        <f>+D41+D43</f>
        <v>69200000</v>
      </c>
      <c r="E40" s="1">
        <f>+E41+E43</f>
        <v>65000000</v>
      </c>
      <c r="F40" s="1">
        <f>+F41+F43</f>
        <v>66300000</v>
      </c>
      <c r="U40" s="6"/>
      <c r="V40" s="6"/>
      <c r="W40" s="115"/>
      <c r="X40" s="5"/>
      <c r="Y40" s="5"/>
      <c r="AD40" s="23"/>
      <c r="AE40" s="23"/>
      <c r="AF40" s="23"/>
      <c r="AG40" s="23"/>
      <c r="AH40" s="23"/>
      <c r="AI40" s="23"/>
      <c r="AJ40" s="26"/>
      <c r="AK40" s="26"/>
      <c r="AL40" s="26"/>
    </row>
    <row r="41" spans="1:38" ht="21.75" customHeight="1">
      <c r="A41" s="16" t="s">
        <v>54</v>
      </c>
      <c r="B41" s="28" t="s">
        <v>7</v>
      </c>
      <c r="C41" s="19" t="s">
        <v>55</v>
      </c>
      <c r="D41" s="1">
        <f>+D42</f>
        <v>22500000</v>
      </c>
      <c r="E41" s="1">
        <f>+E42</f>
        <v>20400000</v>
      </c>
      <c r="F41" s="1">
        <f>+F42</f>
        <v>21400000</v>
      </c>
    </row>
    <row r="42" spans="1:38" ht="43.5" customHeight="1">
      <c r="A42" s="16" t="s">
        <v>56</v>
      </c>
      <c r="B42" s="28" t="s">
        <v>14</v>
      </c>
      <c r="C42" s="19" t="s">
        <v>57</v>
      </c>
      <c r="D42" s="1">
        <v>22500000</v>
      </c>
      <c r="E42" s="1">
        <v>20400000</v>
      </c>
      <c r="F42" s="1">
        <v>21400000</v>
      </c>
    </row>
    <row r="43" spans="1:38" ht="18" customHeight="1">
      <c r="A43" s="27" t="s">
        <v>58</v>
      </c>
      <c r="B43" s="28" t="s">
        <v>7</v>
      </c>
      <c r="C43" s="28" t="s">
        <v>59</v>
      </c>
      <c r="D43" s="1">
        <f>+D44+D46</f>
        <v>46700000</v>
      </c>
      <c r="E43" s="1">
        <f>+E44+E46</f>
        <v>44600000</v>
      </c>
      <c r="F43" s="1">
        <f>+F44+F46</f>
        <v>44900000</v>
      </c>
    </row>
    <row r="44" spans="1:38" ht="20.25" customHeight="1">
      <c r="A44" s="27" t="s">
        <v>60</v>
      </c>
      <c r="B44" s="28" t="s">
        <v>7</v>
      </c>
      <c r="C44" s="28" t="s">
        <v>61</v>
      </c>
      <c r="D44" s="1">
        <f>+D45</f>
        <v>36000000</v>
      </c>
      <c r="E44" s="1">
        <f>+E45</f>
        <v>33800000</v>
      </c>
      <c r="F44" s="1">
        <f>+F45</f>
        <v>34000000</v>
      </c>
    </row>
    <row r="45" spans="1:38" ht="30" customHeight="1">
      <c r="A45" s="27" t="s">
        <v>62</v>
      </c>
      <c r="B45" s="28" t="s">
        <v>14</v>
      </c>
      <c r="C45" s="28" t="s">
        <v>63</v>
      </c>
      <c r="D45" s="1">
        <f>33500000+2500000</f>
        <v>36000000</v>
      </c>
      <c r="E45" s="1">
        <v>33800000</v>
      </c>
      <c r="F45" s="1">
        <v>34000000</v>
      </c>
    </row>
    <row r="46" spans="1:38" ht="19.5" customHeight="1">
      <c r="A46" s="27" t="s">
        <v>64</v>
      </c>
      <c r="B46" s="28" t="s">
        <v>7</v>
      </c>
      <c r="C46" s="28" t="s">
        <v>65</v>
      </c>
      <c r="D46" s="1">
        <f>+D47</f>
        <v>10700000</v>
      </c>
      <c r="E46" s="1">
        <f>+E47</f>
        <v>10800000</v>
      </c>
      <c r="F46" s="1">
        <f>+F47</f>
        <v>10900000</v>
      </c>
    </row>
    <row r="47" spans="1:38" ht="36.75" customHeight="1">
      <c r="A47" s="27" t="s">
        <v>66</v>
      </c>
      <c r="B47" s="28" t="s">
        <v>14</v>
      </c>
      <c r="C47" s="28" t="s">
        <v>67</v>
      </c>
      <c r="D47" s="1">
        <v>10700000</v>
      </c>
      <c r="E47" s="1">
        <v>10800000</v>
      </c>
      <c r="F47" s="1">
        <v>10900000</v>
      </c>
    </row>
    <row r="48" spans="1:38" s="36" customFormat="1" ht="21.75" customHeight="1">
      <c r="A48" s="16" t="s">
        <v>68</v>
      </c>
      <c r="B48" s="17" t="s">
        <v>7</v>
      </c>
      <c r="C48" s="19" t="s">
        <v>69</v>
      </c>
      <c r="D48" s="1">
        <f>+D49+D51</f>
        <v>20435000</v>
      </c>
      <c r="E48" s="1">
        <f>+E49+E51</f>
        <v>20740000</v>
      </c>
      <c r="F48" s="1">
        <f>+F49+F51</f>
        <v>20975000</v>
      </c>
      <c r="U48" s="115"/>
      <c r="V48" s="115"/>
      <c r="W48" s="115"/>
      <c r="X48" s="3"/>
      <c r="Y48" s="3"/>
      <c r="AD48" s="37"/>
      <c r="AE48" s="37"/>
      <c r="AF48" s="37"/>
      <c r="AG48" s="37"/>
      <c r="AH48" s="37"/>
      <c r="AI48" s="37"/>
      <c r="AJ48" s="38"/>
      <c r="AK48" s="38"/>
      <c r="AL48" s="38"/>
    </row>
    <row r="49" spans="1:38" s="36" customFormat="1" ht="32.25" customHeight="1">
      <c r="A49" s="16" t="s">
        <v>266</v>
      </c>
      <c r="B49" s="28" t="s">
        <v>7</v>
      </c>
      <c r="C49" s="19" t="s">
        <v>70</v>
      </c>
      <c r="D49" s="1">
        <f>+D50</f>
        <v>18600000</v>
      </c>
      <c r="E49" s="1">
        <f>+E50</f>
        <v>18800000</v>
      </c>
      <c r="F49" s="1">
        <f>+F50</f>
        <v>19000000</v>
      </c>
      <c r="U49" s="115"/>
      <c r="V49" s="115"/>
      <c r="W49" s="115"/>
      <c r="X49" s="3"/>
      <c r="Y49" s="3"/>
      <c r="AD49" s="37"/>
      <c r="AE49" s="37"/>
      <c r="AF49" s="37"/>
      <c r="AG49" s="37"/>
      <c r="AH49" s="37"/>
      <c r="AI49" s="37"/>
      <c r="AJ49" s="38"/>
      <c r="AK49" s="38"/>
      <c r="AL49" s="38"/>
    </row>
    <row r="50" spans="1:38" ht="46.5" customHeight="1">
      <c r="A50" s="16" t="s">
        <v>71</v>
      </c>
      <c r="B50" s="28" t="s">
        <v>14</v>
      </c>
      <c r="C50" s="19" t="s">
        <v>72</v>
      </c>
      <c r="D50" s="1">
        <v>18600000</v>
      </c>
      <c r="E50" s="1">
        <v>18800000</v>
      </c>
      <c r="F50" s="1">
        <v>19000000</v>
      </c>
    </row>
    <row r="51" spans="1:38" ht="36" customHeight="1">
      <c r="A51" s="16" t="s">
        <v>73</v>
      </c>
      <c r="B51" s="17" t="s">
        <v>7</v>
      </c>
      <c r="C51" s="19" t="s">
        <v>74</v>
      </c>
      <c r="D51" s="1">
        <f>+D52+D53</f>
        <v>1835000</v>
      </c>
      <c r="E51" s="1">
        <f>+E52+E53</f>
        <v>1940000</v>
      </c>
      <c r="F51" s="1">
        <f>+F52+F53</f>
        <v>1975000</v>
      </c>
    </row>
    <row r="52" spans="1:38" ht="30" customHeight="1">
      <c r="A52" s="16" t="s">
        <v>75</v>
      </c>
      <c r="B52" s="17" t="s">
        <v>76</v>
      </c>
      <c r="C52" s="19" t="s">
        <v>77</v>
      </c>
      <c r="D52" s="1">
        <v>75000</v>
      </c>
      <c r="E52" s="1">
        <v>180000</v>
      </c>
      <c r="F52" s="1">
        <v>215000</v>
      </c>
    </row>
    <row r="53" spans="1:38" ht="54.75" customHeight="1">
      <c r="A53" s="16" t="s">
        <v>78</v>
      </c>
      <c r="B53" s="17" t="s">
        <v>7</v>
      </c>
      <c r="C53" s="33" t="s">
        <v>79</v>
      </c>
      <c r="D53" s="1">
        <f>+D54</f>
        <v>1760000</v>
      </c>
      <c r="E53" s="1">
        <f>+E54</f>
        <v>1760000</v>
      </c>
      <c r="F53" s="1">
        <f>+F54</f>
        <v>1760000</v>
      </c>
    </row>
    <row r="54" spans="1:38" ht="78.75" customHeight="1">
      <c r="A54" s="16" t="s">
        <v>277</v>
      </c>
      <c r="B54" s="17" t="s">
        <v>80</v>
      </c>
      <c r="C54" s="19" t="s">
        <v>81</v>
      </c>
      <c r="D54" s="1">
        <f>1760000</f>
        <v>1760000</v>
      </c>
      <c r="E54" s="1">
        <v>1760000</v>
      </c>
      <c r="F54" s="1">
        <v>1760000</v>
      </c>
    </row>
    <row r="55" spans="1:38" s="25" customFormat="1" ht="33" customHeight="1">
      <c r="A55" s="16" t="s">
        <v>82</v>
      </c>
      <c r="B55" s="28" t="s">
        <v>7</v>
      </c>
      <c r="C55" s="19" t="s">
        <v>83</v>
      </c>
      <c r="D55" s="1">
        <f t="shared" ref="D55:F56" si="0">+D56</f>
        <v>1000</v>
      </c>
      <c r="E55" s="1">
        <f t="shared" si="0"/>
        <v>0</v>
      </c>
      <c r="F55" s="1">
        <f t="shared" si="0"/>
        <v>0</v>
      </c>
      <c r="U55" s="6"/>
      <c r="V55" s="6"/>
      <c r="W55" s="115"/>
      <c r="X55" s="5"/>
      <c r="Y55" s="5"/>
      <c r="AD55" s="23"/>
      <c r="AE55" s="23"/>
      <c r="AF55" s="23"/>
      <c r="AG55" s="23"/>
      <c r="AH55" s="23"/>
      <c r="AI55" s="23"/>
      <c r="AJ55" s="26"/>
      <c r="AK55" s="26"/>
      <c r="AL55" s="26"/>
    </row>
    <row r="56" spans="1:38" ht="30" customHeight="1">
      <c r="A56" s="16" t="s">
        <v>84</v>
      </c>
      <c r="B56" s="28" t="s">
        <v>7</v>
      </c>
      <c r="C56" s="19" t="s">
        <v>85</v>
      </c>
      <c r="D56" s="1">
        <f t="shared" si="0"/>
        <v>1000</v>
      </c>
      <c r="E56" s="1">
        <f t="shared" si="0"/>
        <v>0</v>
      </c>
      <c r="F56" s="1">
        <f t="shared" si="0"/>
        <v>0</v>
      </c>
    </row>
    <row r="57" spans="1:38" ht="20.25" customHeight="1">
      <c r="A57" s="16" t="s">
        <v>86</v>
      </c>
      <c r="B57" s="28" t="s">
        <v>14</v>
      </c>
      <c r="C57" s="19" t="s">
        <v>87</v>
      </c>
      <c r="D57" s="1">
        <v>1000</v>
      </c>
      <c r="E57" s="1">
        <v>0</v>
      </c>
      <c r="F57" s="1">
        <v>0</v>
      </c>
    </row>
    <row r="58" spans="1:38" s="25" customFormat="1" ht="37.5" customHeight="1">
      <c r="A58" s="16" t="s">
        <v>88</v>
      </c>
      <c r="B58" s="17" t="s">
        <v>7</v>
      </c>
      <c r="C58" s="19" t="s">
        <v>89</v>
      </c>
      <c r="D58" s="1">
        <f>+D59+D68+D71</f>
        <v>88616925</v>
      </c>
      <c r="E58" s="1">
        <f>+E59+E68+E71</f>
        <v>96511000</v>
      </c>
      <c r="F58" s="1">
        <f>+F59+F68+F71</f>
        <v>100079000</v>
      </c>
      <c r="U58" s="6"/>
      <c r="V58" s="6"/>
      <c r="W58" s="115"/>
      <c r="X58" s="5"/>
      <c r="Y58" s="5"/>
      <c r="AD58" s="23"/>
      <c r="AE58" s="23"/>
      <c r="AF58" s="23"/>
      <c r="AG58" s="23"/>
      <c r="AH58" s="23"/>
      <c r="AI58" s="23"/>
      <c r="AJ58" s="26"/>
      <c r="AK58" s="26"/>
      <c r="AL58" s="26"/>
    </row>
    <row r="59" spans="1:38" ht="69" customHeight="1">
      <c r="A59" s="16" t="s">
        <v>90</v>
      </c>
      <c r="B59" s="17" t="s">
        <v>7</v>
      </c>
      <c r="C59" s="19" t="s">
        <v>91</v>
      </c>
      <c r="D59" s="1">
        <f>D60+D62+D64+D66</f>
        <v>76278676</v>
      </c>
      <c r="E59" s="1">
        <f t="shared" ref="E59:F59" si="1">E60+E62+E64+E66</f>
        <v>83746000</v>
      </c>
      <c r="F59" s="1">
        <f t="shared" si="1"/>
        <v>87012000</v>
      </c>
    </row>
    <row r="60" spans="1:38" ht="57" customHeight="1">
      <c r="A60" s="16" t="s">
        <v>92</v>
      </c>
      <c r="B60" s="17" t="s">
        <v>7</v>
      </c>
      <c r="C60" s="19" t="s">
        <v>93</v>
      </c>
      <c r="D60" s="1">
        <f>+D61</f>
        <v>62973000</v>
      </c>
      <c r="E60" s="1">
        <f>+E61</f>
        <v>65430000</v>
      </c>
      <c r="F60" s="1">
        <f>+F61</f>
        <v>67981000</v>
      </c>
    </row>
    <row r="61" spans="1:38" ht="69.75" customHeight="1">
      <c r="A61" s="16" t="s">
        <v>94</v>
      </c>
      <c r="B61" s="17" t="s">
        <v>76</v>
      </c>
      <c r="C61" s="19" t="s">
        <v>95</v>
      </c>
      <c r="D61" s="1">
        <v>62973000</v>
      </c>
      <c r="E61" s="1">
        <v>65430000</v>
      </c>
      <c r="F61" s="1">
        <v>67981000</v>
      </c>
    </row>
    <row r="62" spans="1:38" ht="68.25" customHeight="1">
      <c r="A62" s="34" t="s">
        <v>96</v>
      </c>
      <c r="B62" s="17" t="s">
        <v>7</v>
      </c>
      <c r="C62" s="19" t="s">
        <v>97</v>
      </c>
      <c r="D62" s="1">
        <f>+D63</f>
        <v>7185700</v>
      </c>
      <c r="E62" s="1">
        <f>+E63</f>
        <v>11742000</v>
      </c>
      <c r="F62" s="1">
        <f>+F63</f>
        <v>12201000</v>
      </c>
    </row>
    <row r="63" spans="1:38" ht="67.5" customHeight="1">
      <c r="A63" s="34" t="s">
        <v>98</v>
      </c>
      <c r="B63" s="17" t="s">
        <v>76</v>
      </c>
      <c r="C63" s="19" t="s">
        <v>99</v>
      </c>
      <c r="D63" s="1">
        <f>11302000-2116300-2000000</f>
        <v>7185700</v>
      </c>
      <c r="E63" s="1">
        <v>11742000</v>
      </c>
      <c r="F63" s="1">
        <v>12201000</v>
      </c>
    </row>
    <row r="64" spans="1:38" ht="43.5" customHeight="1">
      <c r="A64" s="34" t="s">
        <v>100</v>
      </c>
      <c r="B64" s="17" t="s">
        <v>7</v>
      </c>
      <c r="C64" s="19" t="s">
        <v>101</v>
      </c>
      <c r="D64" s="1">
        <f>+D65</f>
        <v>6032976</v>
      </c>
      <c r="E64" s="1">
        <f>+E65</f>
        <v>6574000</v>
      </c>
      <c r="F64" s="1">
        <f>+F65</f>
        <v>6830000</v>
      </c>
    </row>
    <row r="65" spans="1:6" ht="32.25" customHeight="1">
      <c r="A65" s="34" t="s">
        <v>102</v>
      </c>
      <c r="B65" s="17" t="s">
        <v>76</v>
      </c>
      <c r="C65" s="19" t="s">
        <v>103</v>
      </c>
      <c r="D65" s="1">
        <f>6327000-1394024+1100000</f>
        <v>6032976</v>
      </c>
      <c r="E65" s="1">
        <v>6574000</v>
      </c>
      <c r="F65" s="1">
        <v>6830000</v>
      </c>
    </row>
    <row r="66" spans="1:6" ht="44.25" customHeight="1">
      <c r="A66" s="34" t="s">
        <v>465</v>
      </c>
      <c r="B66" s="17" t="s">
        <v>7</v>
      </c>
      <c r="C66" s="19" t="s">
        <v>466</v>
      </c>
      <c r="D66" s="1">
        <f>D67</f>
        <v>87000</v>
      </c>
      <c r="E66" s="1">
        <f t="shared" ref="E66:F66" si="2">E67</f>
        <v>0</v>
      </c>
      <c r="F66" s="1">
        <f t="shared" si="2"/>
        <v>0</v>
      </c>
    </row>
    <row r="67" spans="1:6" ht="70.150000000000006" customHeight="1">
      <c r="A67" s="34" t="s">
        <v>463</v>
      </c>
      <c r="B67" s="17" t="s">
        <v>80</v>
      </c>
      <c r="C67" s="19" t="s">
        <v>464</v>
      </c>
      <c r="D67" s="1">
        <v>87000</v>
      </c>
      <c r="E67" s="1">
        <v>0</v>
      </c>
      <c r="F67" s="1">
        <v>0</v>
      </c>
    </row>
    <row r="68" spans="1:6" ht="30" customHeight="1">
      <c r="A68" s="16" t="s">
        <v>104</v>
      </c>
      <c r="B68" s="17" t="s">
        <v>7</v>
      </c>
      <c r="C68" s="19" t="s">
        <v>105</v>
      </c>
      <c r="D68" s="1">
        <f t="shared" ref="D68:F69" si="3">+D69</f>
        <v>36324</v>
      </c>
      <c r="E68" s="1">
        <f t="shared" si="3"/>
        <v>105000</v>
      </c>
      <c r="F68" s="1">
        <f t="shared" si="3"/>
        <v>109000</v>
      </c>
    </row>
    <row r="69" spans="1:6" ht="45.75" customHeight="1">
      <c r="A69" s="16" t="s">
        <v>106</v>
      </c>
      <c r="B69" s="17" t="s">
        <v>7</v>
      </c>
      <c r="C69" s="19" t="s">
        <v>107</v>
      </c>
      <c r="D69" s="1">
        <f t="shared" si="3"/>
        <v>36324</v>
      </c>
      <c r="E69" s="1">
        <f t="shared" si="3"/>
        <v>105000</v>
      </c>
      <c r="F69" s="1">
        <f t="shared" si="3"/>
        <v>109000</v>
      </c>
    </row>
    <row r="70" spans="1:6" ht="46.5" customHeight="1">
      <c r="A70" s="16" t="s">
        <v>108</v>
      </c>
      <c r="B70" s="17" t="s">
        <v>76</v>
      </c>
      <c r="C70" s="19" t="s">
        <v>109</v>
      </c>
      <c r="D70" s="1">
        <f>102000-65676</f>
        <v>36324</v>
      </c>
      <c r="E70" s="1">
        <v>105000</v>
      </c>
      <c r="F70" s="1">
        <v>109000</v>
      </c>
    </row>
    <row r="71" spans="1:6" ht="68.25" customHeight="1">
      <c r="A71" s="16" t="s">
        <v>110</v>
      </c>
      <c r="B71" s="17" t="s">
        <v>7</v>
      </c>
      <c r="C71" s="33" t="s">
        <v>111</v>
      </c>
      <c r="D71" s="1">
        <f t="shared" ref="D71:F71" si="4">+D72</f>
        <v>12301925</v>
      </c>
      <c r="E71" s="1">
        <f t="shared" si="4"/>
        <v>12660000</v>
      </c>
      <c r="F71" s="1">
        <f t="shared" si="4"/>
        <v>12958000</v>
      </c>
    </row>
    <row r="72" spans="1:6" ht="66" customHeight="1">
      <c r="A72" s="39" t="s">
        <v>112</v>
      </c>
      <c r="B72" s="17" t="s">
        <v>7</v>
      </c>
      <c r="C72" s="19" t="s">
        <v>256</v>
      </c>
      <c r="D72" s="1">
        <f>+D79+D73+D75+D77</f>
        <v>12301925</v>
      </c>
      <c r="E72" s="1">
        <f t="shared" ref="E72:F72" si="5">+E79+E73+E75+E77</f>
        <v>12660000</v>
      </c>
      <c r="F72" s="1">
        <f t="shared" si="5"/>
        <v>12958000</v>
      </c>
    </row>
    <row r="73" spans="1:6" ht="69" customHeight="1">
      <c r="A73" s="40" t="s">
        <v>112</v>
      </c>
      <c r="B73" s="17" t="s">
        <v>7</v>
      </c>
      <c r="C73" s="35" t="s">
        <v>333</v>
      </c>
      <c r="D73" s="1">
        <f>+D74</f>
        <v>3105925</v>
      </c>
      <c r="E73" s="1">
        <f t="shared" ref="E73:F73" si="6">+E74</f>
        <v>5238000</v>
      </c>
      <c r="F73" s="1">
        <f t="shared" si="6"/>
        <v>5442000</v>
      </c>
    </row>
    <row r="74" spans="1:6" ht="81.75" customHeight="1">
      <c r="A74" s="40" t="s">
        <v>338</v>
      </c>
      <c r="B74" s="17" t="s">
        <v>76</v>
      </c>
      <c r="C74" s="35" t="s">
        <v>330</v>
      </c>
      <c r="D74" s="1">
        <f>5042000-1392000-544075</f>
        <v>3105925</v>
      </c>
      <c r="E74" s="1">
        <v>5238000</v>
      </c>
      <c r="F74" s="1">
        <v>5442000</v>
      </c>
    </row>
    <row r="75" spans="1:6" ht="69" customHeight="1">
      <c r="A75" s="40" t="s">
        <v>112</v>
      </c>
      <c r="B75" s="17" t="s">
        <v>7</v>
      </c>
      <c r="C75" s="35" t="s">
        <v>334</v>
      </c>
      <c r="D75" s="1">
        <f>+D76</f>
        <v>1806000</v>
      </c>
      <c r="E75" s="1">
        <f t="shared" ref="E75:F75" si="7">+E76</f>
        <v>1876000</v>
      </c>
      <c r="F75" s="1">
        <f t="shared" si="7"/>
        <v>1949000</v>
      </c>
    </row>
    <row r="76" spans="1:6" ht="93.75" customHeight="1">
      <c r="A76" s="40" t="s">
        <v>336</v>
      </c>
      <c r="B76" s="17" t="s">
        <v>76</v>
      </c>
      <c r="C76" s="35" t="s">
        <v>331</v>
      </c>
      <c r="D76" s="1">
        <v>1806000</v>
      </c>
      <c r="E76" s="1">
        <v>1876000</v>
      </c>
      <c r="F76" s="1">
        <v>1949000</v>
      </c>
    </row>
    <row r="77" spans="1:6" ht="67.5" customHeight="1">
      <c r="A77" s="40" t="s">
        <v>112</v>
      </c>
      <c r="B77" s="17" t="s">
        <v>7</v>
      </c>
      <c r="C77" s="35" t="s">
        <v>335</v>
      </c>
      <c r="D77" s="1">
        <f>+D78</f>
        <v>1440000</v>
      </c>
      <c r="E77" s="1">
        <f t="shared" ref="E77:F77" si="8">+E78</f>
        <v>533000</v>
      </c>
      <c r="F77" s="1">
        <f t="shared" si="8"/>
        <v>554000</v>
      </c>
    </row>
    <row r="78" spans="1:6" ht="71.25" customHeight="1">
      <c r="A78" s="40" t="s">
        <v>337</v>
      </c>
      <c r="B78" s="17" t="s">
        <v>76</v>
      </c>
      <c r="C78" s="35" t="s">
        <v>332</v>
      </c>
      <c r="D78" s="1">
        <f>513000+327000+600000</f>
        <v>1440000</v>
      </c>
      <c r="E78" s="1">
        <v>533000</v>
      </c>
      <c r="F78" s="1">
        <v>554000</v>
      </c>
    </row>
    <row r="79" spans="1:6" ht="81" customHeight="1">
      <c r="A79" s="39" t="s">
        <v>113</v>
      </c>
      <c r="B79" s="17" t="s">
        <v>7</v>
      </c>
      <c r="C79" s="19" t="s">
        <v>257</v>
      </c>
      <c r="D79" s="1">
        <f>+D80+D81</f>
        <v>5950000</v>
      </c>
      <c r="E79" s="1">
        <f>+E80+E81</f>
        <v>5013000</v>
      </c>
      <c r="F79" s="1">
        <f>+F80+F81</f>
        <v>5013000</v>
      </c>
    </row>
    <row r="80" spans="1:6" ht="82.5" customHeight="1">
      <c r="A80" s="39" t="s">
        <v>265</v>
      </c>
      <c r="B80" s="17" t="s">
        <v>80</v>
      </c>
      <c r="C80" s="19" t="s">
        <v>264</v>
      </c>
      <c r="D80" s="1">
        <f>4800000+900000</f>
        <v>5700000</v>
      </c>
      <c r="E80" s="1">
        <v>4800000</v>
      </c>
      <c r="F80" s="1">
        <v>4800000</v>
      </c>
    </row>
    <row r="81" spans="1:38" ht="78.75" customHeight="1">
      <c r="A81" s="39" t="s">
        <v>267</v>
      </c>
      <c r="B81" s="17" t="s">
        <v>80</v>
      </c>
      <c r="C81" s="19" t="s">
        <v>268</v>
      </c>
      <c r="D81" s="1">
        <f>213000-48000+85000</f>
        <v>250000</v>
      </c>
      <c r="E81" s="1">
        <v>213000</v>
      </c>
      <c r="F81" s="1">
        <v>213000</v>
      </c>
    </row>
    <row r="82" spans="1:38" ht="25.5" customHeight="1">
      <c r="A82" s="16" t="s">
        <v>114</v>
      </c>
      <c r="B82" s="17" t="s">
        <v>7</v>
      </c>
      <c r="C82" s="19" t="s">
        <v>115</v>
      </c>
      <c r="D82" s="1">
        <f>+D83+D89</f>
        <v>8885000</v>
      </c>
      <c r="E82" s="1">
        <f>+E83+E89</f>
        <v>9804000</v>
      </c>
      <c r="F82" s="1">
        <f>+F83+F89</f>
        <v>10085000</v>
      </c>
    </row>
    <row r="83" spans="1:38" ht="22.5" customHeight="1">
      <c r="A83" s="16" t="s">
        <v>116</v>
      </c>
      <c r="B83" s="17" t="s">
        <v>7</v>
      </c>
      <c r="C83" s="19" t="s">
        <v>117</v>
      </c>
      <c r="D83" s="41">
        <f>+D84+D85+D86</f>
        <v>8520000</v>
      </c>
      <c r="E83" s="41">
        <f>+E84+E85+E86</f>
        <v>9386000</v>
      </c>
      <c r="F83" s="41">
        <f>+F84+F85+F86</f>
        <v>9667000</v>
      </c>
    </row>
    <row r="84" spans="1:38" ht="30" customHeight="1">
      <c r="A84" s="16" t="s">
        <v>118</v>
      </c>
      <c r="B84" s="17" t="s">
        <v>119</v>
      </c>
      <c r="C84" s="19" t="s">
        <v>120</v>
      </c>
      <c r="D84" s="1">
        <f>1270000-94000</f>
        <v>1176000</v>
      </c>
      <c r="E84" s="1">
        <v>1295000</v>
      </c>
      <c r="F84" s="1">
        <v>1334000</v>
      </c>
    </row>
    <row r="85" spans="1:38" ht="25.5" customHeight="1">
      <c r="A85" s="16" t="s">
        <v>121</v>
      </c>
      <c r="B85" s="17" t="s">
        <v>119</v>
      </c>
      <c r="C85" s="19" t="s">
        <v>122</v>
      </c>
      <c r="D85" s="1">
        <f>5314000-394000</f>
        <v>4920000</v>
      </c>
      <c r="E85" s="1">
        <v>5420000</v>
      </c>
      <c r="F85" s="1">
        <v>5583000</v>
      </c>
    </row>
    <row r="86" spans="1:38" ht="30" customHeight="1">
      <c r="A86" s="16" t="s">
        <v>123</v>
      </c>
      <c r="B86" s="17" t="s">
        <v>7</v>
      </c>
      <c r="C86" s="19" t="s">
        <v>124</v>
      </c>
      <c r="D86" s="1">
        <f>+D87+D88</f>
        <v>2424000</v>
      </c>
      <c r="E86" s="1">
        <f>+E87+E88</f>
        <v>2671000</v>
      </c>
      <c r="F86" s="1">
        <f>+F87+F88</f>
        <v>2750000</v>
      </c>
    </row>
    <row r="87" spans="1:38" ht="30" customHeight="1">
      <c r="A87" s="16" t="s">
        <v>125</v>
      </c>
      <c r="B87" s="17" t="s">
        <v>119</v>
      </c>
      <c r="C87" s="19" t="s">
        <v>126</v>
      </c>
      <c r="D87" s="1">
        <f>2462000-182000</f>
        <v>2280000</v>
      </c>
      <c r="E87" s="1">
        <v>2512000</v>
      </c>
      <c r="F87" s="1">
        <v>2587000</v>
      </c>
    </row>
    <row r="88" spans="1:38" ht="25.5" customHeight="1">
      <c r="A88" s="39" t="s">
        <v>240</v>
      </c>
      <c r="B88" s="17" t="s">
        <v>119</v>
      </c>
      <c r="C88" s="19" t="s">
        <v>241</v>
      </c>
      <c r="D88" s="1">
        <f>156000-12000</f>
        <v>144000</v>
      </c>
      <c r="E88" s="1">
        <v>159000</v>
      </c>
      <c r="F88" s="1">
        <v>163000</v>
      </c>
    </row>
    <row r="89" spans="1:38" ht="23.25" customHeight="1">
      <c r="A89" s="16" t="s">
        <v>127</v>
      </c>
      <c r="B89" s="17" t="s">
        <v>7</v>
      </c>
      <c r="C89" s="19" t="s">
        <v>128</v>
      </c>
      <c r="D89" s="1">
        <f t="shared" ref="D89:F90" si="9">+D90</f>
        <v>365000</v>
      </c>
      <c r="E89" s="1">
        <f t="shared" si="9"/>
        <v>418000</v>
      </c>
      <c r="F89" s="1">
        <f t="shared" si="9"/>
        <v>418000</v>
      </c>
    </row>
    <row r="90" spans="1:38" ht="37.5" customHeight="1">
      <c r="A90" s="16" t="s">
        <v>129</v>
      </c>
      <c r="B90" s="17" t="s">
        <v>7</v>
      </c>
      <c r="C90" s="19" t="s">
        <v>130</v>
      </c>
      <c r="D90" s="1">
        <f t="shared" si="9"/>
        <v>365000</v>
      </c>
      <c r="E90" s="1">
        <f t="shared" si="9"/>
        <v>418000</v>
      </c>
      <c r="F90" s="1">
        <f t="shared" si="9"/>
        <v>418000</v>
      </c>
    </row>
    <row r="91" spans="1:38" ht="42.75" customHeight="1">
      <c r="A91" s="16" t="s">
        <v>243</v>
      </c>
      <c r="B91" s="17" t="s">
        <v>76</v>
      </c>
      <c r="C91" s="19" t="s">
        <v>242</v>
      </c>
      <c r="D91" s="1">
        <f>418000-53000</f>
        <v>365000</v>
      </c>
      <c r="E91" s="1">
        <v>418000</v>
      </c>
      <c r="F91" s="1">
        <v>418000</v>
      </c>
    </row>
    <row r="92" spans="1:38" s="25" customFormat="1" ht="30" customHeight="1">
      <c r="A92" s="16" t="s">
        <v>131</v>
      </c>
      <c r="B92" s="17" t="s">
        <v>7</v>
      </c>
      <c r="C92" s="19" t="s">
        <v>132</v>
      </c>
      <c r="D92" s="1">
        <f>+D97+D93</f>
        <v>5599351</v>
      </c>
      <c r="E92" s="1">
        <f>+E97+E93</f>
        <v>1125000</v>
      </c>
      <c r="F92" s="1">
        <f>+F97+F93</f>
        <v>1128000</v>
      </c>
      <c r="U92" s="6"/>
      <c r="V92" s="6"/>
      <c r="W92" s="115"/>
      <c r="X92" s="5"/>
      <c r="Y92" s="5"/>
      <c r="AD92" s="23"/>
      <c r="AE92" s="23"/>
      <c r="AF92" s="23"/>
      <c r="AG92" s="23"/>
      <c r="AH92" s="23"/>
      <c r="AI92" s="23"/>
      <c r="AJ92" s="26"/>
      <c r="AK92" s="26"/>
      <c r="AL92" s="26"/>
    </row>
    <row r="93" spans="1:38" ht="26.25" customHeight="1">
      <c r="A93" s="16" t="s">
        <v>133</v>
      </c>
      <c r="B93" s="17" t="s">
        <v>7</v>
      </c>
      <c r="C93" s="19" t="s">
        <v>134</v>
      </c>
      <c r="D93" s="1">
        <f t="shared" ref="D93:F94" si="10">+D94</f>
        <v>65000</v>
      </c>
      <c r="E93" s="1">
        <f t="shared" si="10"/>
        <v>66000</v>
      </c>
      <c r="F93" s="1">
        <f t="shared" si="10"/>
        <v>69000</v>
      </c>
    </row>
    <row r="94" spans="1:38" ht="20.25" customHeight="1">
      <c r="A94" s="16" t="s">
        <v>135</v>
      </c>
      <c r="B94" s="17" t="s">
        <v>7</v>
      </c>
      <c r="C94" s="19" t="s">
        <v>136</v>
      </c>
      <c r="D94" s="1">
        <f t="shared" si="10"/>
        <v>65000</v>
      </c>
      <c r="E94" s="1">
        <f t="shared" si="10"/>
        <v>66000</v>
      </c>
      <c r="F94" s="1">
        <f t="shared" si="10"/>
        <v>69000</v>
      </c>
    </row>
    <row r="95" spans="1:38" ht="31.5" customHeight="1">
      <c r="A95" s="34" t="s">
        <v>137</v>
      </c>
      <c r="B95" s="17" t="s">
        <v>7</v>
      </c>
      <c r="C95" s="35" t="s">
        <v>138</v>
      </c>
      <c r="D95" s="1">
        <f>SUM(D96:D96)</f>
        <v>65000</v>
      </c>
      <c r="E95" s="1">
        <f>SUM(E96:E96)</f>
        <v>66000</v>
      </c>
      <c r="F95" s="1">
        <f>SUM(F96:F96)</f>
        <v>69000</v>
      </c>
    </row>
    <row r="96" spans="1:38" ht="55.5" customHeight="1">
      <c r="A96" s="34" t="s">
        <v>139</v>
      </c>
      <c r="B96" s="17" t="s">
        <v>76</v>
      </c>
      <c r="C96" s="35" t="s">
        <v>140</v>
      </c>
      <c r="D96" s="1">
        <f>64000+1000</f>
        <v>65000</v>
      </c>
      <c r="E96" s="1">
        <v>66000</v>
      </c>
      <c r="F96" s="1">
        <v>69000</v>
      </c>
    </row>
    <row r="97" spans="1:38" ht="24" customHeight="1">
      <c r="A97" s="16" t="s">
        <v>141</v>
      </c>
      <c r="B97" s="17" t="s">
        <v>7</v>
      </c>
      <c r="C97" s="19" t="s">
        <v>142</v>
      </c>
      <c r="D97" s="1">
        <f t="shared" ref="D97:F98" si="11">+D98</f>
        <v>5534351</v>
      </c>
      <c r="E97" s="1">
        <f t="shared" si="11"/>
        <v>1059000</v>
      </c>
      <c r="F97" s="1">
        <f t="shared" si="11"/>
        <v>1059000</v>
      </c>
    </row>
    <row r="98" spans="1:38" ht="23.25" customHeight="1">
      <c r="A98" s="16" t="s">
        <v>143</v>
      </c>
      <c r="B98" s="17" t="s">
        <v>7</v>
      </c>
      <c r="C98" s="19" t="s">
        <v>144</v>
      </c>
      <c r="D98" s="1">
        <f t="shared" si="11"/>
        <v>5534351</v>
      </c>
      <c r="E98" s="1">
        <f t="shared" si="11"/>
        <v>1059000</v>
      </c>
      <c r="F98" s="1">
        <f t="shared" si="11"/>
        <v>1059000</v>
      </c>
    </row>
    <row r="99" spans="1:38" ht="23.25" customHeight="1">
      <c r="A99" s="39" t="s">
        <v>145</v>
      </c>
      <c r="B99" s="17" t="s">
        <v>7</v>
      </c>
      <c r="C99" s="19" t="s">
        <v>255</v>
      </c>
      <c r="D99" s="1">
        <f>+D102+D103+D100+D101</f>
        <v>5534351</v>
      </c>
      <c r="E99" s="1">
        <f>+E102+E103</f>
        <v>1059000</v>
      </c>
      <c r="F99" s="1">
        <f>+F102+F103</f>
        <v>1059000</v>
      </c>
    </row>
    <row r="100" spans="1:38" ht="21.75" customHeight="1">
      <c r="A100" s="16" t="s">
        <v>145</v>
      </c>
      <c r="B100" s="17" t="s">
        <v>148</v>
      </c>
      <c r="C100" s="19" t="s">
        <v>255</v>
      </c>
      <c r="D100" s="1">
        <f>36319+833531</f>
        <v>869850</v>
      </c>
      <c r="E100" s="1">
        <v>0</v>
      </c>
      <c r="F100" s="1">
        <v>0</v>
      </c>
    </row>
    <row r="101" spans="1:38" ht="26.25" customHeight="1">
      <c r="A101" s="16" t="s">
        <v>145</v>
      </c>
      <c r="B101" s="17" t="s">
        <v>436</v>
      </c>
      <c r="C101" s="19" t="s">
        <v>255</v>
      </c>
      <c r="D101" s="1">
        <v>10501</v>
      </c>
      <c r="E101" s="1">
        <v>0</v>
      </c>
      <c r="F101" s="1">
        <v>0</v>
      </c>
    </row>
    <row r="102" spans="1:38" ht="46.5" customHeight="1">
      <c r="A102" s="16" t="s">
        <v>149</v>
      </c>
      <c r="B102" s="17" t="s">
        <v>80</v>
      </c>
      <c r="C102" s="19" t="s">
        <v>150</v>
      </c>
      <c r="D102" s="1">
        <f>250000+1193270+146000+2255730</f>
        <v>3845000</v>
      </c>
      <c r="E102" s="1">
        <v>250000</v>
      </c>
      <c r="F102" s="1">
        <v>250000</v>
      </c>
    </row>
    <row r="103" spans="1:38" ht="33.75" customHeight="1">
      <c r="A103" s="34" t="s">
        <v>151</v>
      </c>
      <c r="B103" s="17" t="s">
        <v>80</v>
      </c>
      <c r="C103" s="19" t="s">
        <v>152</v>
      </c>
      <c r="D103" s="1">
        <f>809000</f>
        <v>809000</v>
      </c>
      <c r="E103" s="1">
        <v>809000</v>
      </c>
      <c r="F103" s="1">
        <v>809000</v>
      </c>
    </row>
    <row r="104" spans="1:38" s="25" customFormat="1" ht="30" customHeight="1">
      <c r="A104" s="16" t="s">
        <v>153</v>
      </c>
      <c r="B104" s="17" t="s">
        <v>7</v>
      </c>
      <c r="C104" s="19" t="s">
        <v>154</v>
      </c>
      <c r="D104" s="1">
        <f>+D105+D108</f>
        <v>18697000</v>
      </c>
      <c r="E104" s="1">
        <f>+E105+E108</f>
        <v>11426000</v>
      </c>
      <c r="F104" s="1">
        <f>+F105+F108</f>
        <v>13707000</v>
      </c>
      <c r="U104" s="6"/>
      <c r="V104" s="6"/>
      <c r="W104" s="115"/>
      <c r="X104" s="5"/>
      <c r="Y104" s="5"/>
      <c r="AD104" s="23"/>
      <c r="AE104" s="23"/>
      <c r="AF104" s="23"/>
      <c r="AG104" s="23"/>
      <c r="AH104" s="23"/>
      <c r="AI104" s="23"/>
      <c r="AJ104" s="26"/>
      <c r="AK104" s="26"/>
      <c r="AL104" s="26"/>
    </row>
    <row r="105" spans="1:38" ht="69" customHeight="1">
      <c r="A105" s="34" t="s">
        <v>155</v>
      </c>
      <c r="B105" s="42" t="s">
        <v>7</v>
      </c>
      <c r="C105" s="42" t="s">
        <v>156</v>
      </c>
      <c r="D105" s="1">
        <f t="shared" ref="D105:F106" si="12">+D106</f>
        <v>2305000</v>
      </c>
      <c r="E105" s="1">
        <f t="shared" si="12"/>
        <v>1938000</v>
      </c>
      <c r="F105" s="1">
        <f t="shared" si="12"/>
        <v>3849000</v>
      </c>
    </row>
    <row r="106" spans="1:38" ht="78.75" customHeight="1">
      <c r="A106" s="34" t="s">
        <v>157</v>
      </c>
      <c r="B106" s="42" t="s">
        <v>7</v>
      </c>
      <c r="C106" s="42" t="s">
        <v>158</v>
      </c>
      <c r="D106" s="1">
        <f t="shared" si="12"/>
        <v>2305000</v>
      </c>
      <c r="E106" s="1">
        <f t="shared" si="12"/>
        <v>1938000</v>
      </c>
      <c r="F106" s="1">
        <f t="shared" si="12"/>
        <v>3849000</v>
      </c>
    </row>
    <row r="107" spans="1:38" ht="79.5" customHeight="1">
      <c r="A107" s="34" t="s">
        <v>159</v>
      </c>
      <c r="B107" s="42" t="s">
        <v>76</v>
      </c>
      <c r="C107" s="42" t="s">
        <v>160</v>
      </c>
      <c r="D107" s="1">
        <v>2305000</v>
      </c>
      <c r="E107" s="1">
        <v>1938000</v>
      </c>
      <c r="F107" s="1">
        <v>3849000</v>
      </c>
    </row>
    <row r="108" spans="1:38" ht="36" customHeight="1">
      <c r="A108" s="34" t="s">
        <v>161</v>
      </c>
      <c r="B108" s="42" t="s">
        <v>7</v>
      </c>
      <c r="C108" s="43" t="s">
        <v>162</v>
      </c>
      <c r="D108" s="1">
        <f>+D109+D111</f>
        <v>16392000</v>
      </c>
      <c r="E108" s="1">
        <f>+E109+E111</f>
        <v>9488000</v>
      </c>
      <c r="F108" s="1">
        <f>+F109+F111</f>
        <v>9858000</v>
      </c>
    </row>
    <row r="109" spans="1:38" ht="33" customHeight="1">
      <c r="A109" s="27" t="s">
        <v>163</v>
      </c>
      <c r="B109" s="42" t="s">
        <v>7</v>
      </c>
      <c r="C109" s="43" t="s">
        <v>164</v>
      </c>
      <c r="D109" s="1">
        <f>+D110</f>
        <v>13882000</v>
      </c>
      <c r="E109" s="1">
        <f>+E110</f>
        <v>6881000</v>
      </c>
      <c r="F109" s="1">
        <f>+F110</f>
        <v>7149000</v>
      </c>
    </row>
    <row r="110" spans="1:38" ht="42" customHeight="1">
      <c r="A110" s="27" t="s">
        <v>165</v>
      </c>
      <c r="B110" s="42" t="s">
        <v>76</v>
      </c>
      <c r="C110" s="43" t="s">
        <v>166</v>
      </c>
      <c r="D110" s="1">
        <f>6622000+2800000+4460000</f>
        <v>13882000</v>
      </c>
      <c r="E110" s="1">
        <v>6881000</v>
      </c>
      <c r="F110" s="1">
        <v>7149000</v>
      </c>
      <c r="W110" s="44"/>
    </row>
    <row r="111" spans="1:38" ht="44.25" customHeight="1">
      <c r="A111" s="34" t="s">
        <v>167</v>
      </c>
      <c r="B111" s="42" t="s">
        <v>7</v>
      </c>
      <c r="C111" s="43" t="s">
        <v>168</v>
      </c>
      <c r="D111" s="1">
        <f>+D112</f>
        <v>2510000</v>
      </c>
      <c r="E111" s="1">
        <f>+E112</f>
        <v>2607000</v>
      </c>
      <c r="F111" s="1">
        <f>+F112</f>
        <v>2709000</v>
      </c>
    </row>
    <row r="112" spans="1:38" ht="45.75" customHeight="1">
      <c r="A112" s="34" t="s">
        <v>169</v>
      </c>
      <c r="B112" s="42" t="s">
        <v>76</v>
      </c>
      <c r="C112" s="43" t="s">
        <v>170</v>
      </c>
      <c r="D112" s="1">
        <v>2510000</v>
      </c>
      <c r="E112" s="1">
        <v>2607000</v>
      </c>
      <c r="F112" s="1">
        <v>2709000</v>
      </c>
    </row>
    <row r="113" spans="1:42" ht="23.25" customHeight="1">
      <c r="A113" s="40" t="s">
        <v>171</v>
      </c>
      <c r="B113" s="17" t="s">
        <v>7</v>
      </c>
      <c r="C113" s="19" t="s">
        <v>172</v>
      </c>
      <c r="D113" s="1">
        <f>+D114+D141+D143+D167+D151</f>
        <v>10179839</v>
      </c>
      <c r="E113" s="1">
        <f>+E114+E141+E143+E167+E154</f>
        <v>4734000</v>
      </c>
      <c r="F113" s="1">
        <f>+F114+F141+F143+F167+F154</f>
        <v>4898000</v>
      </c>
      <c r="AO113" s="5">
        <v>10179839</v>
      </c>
      <c r="AP113" s="13">
        <f>D113-AO113</f>
        <v>0</v>
      </c>
    </row>
    <row r="114" spans="1:42" ht="38.25" customHeight="1">
      <c r="A114" s="40" t="s">
        <v>282</v>
      </c>
      <c r="B114" s="17" t="s">
        <v>7</v>
      </c>
      <c r="C114" s="19" t="s">
        <v>283</v>
      </c>
      <c r="D114" s="1">
        <f>+D115+D118+D121+D130+D135+D138+D124+D126+D128+D133</f>
        <v>2033410</v>
      </c>
      <c r="E114" s="1">
        <f t="shared" ref="E114:F114" si="13">+E115+E118+E121+E130+E135+E138+E124+E126+E128+E133</f>
        <v>101000</v>
      </c>
      <c r="F114" s="1">
        <f t="shared" si="13"/>
        <v>101000</v>
      </c>
    </row>
    <row r="115" spans="1:42" ht="49.5" customHeight="1">
      <c r="A115" s="40" t="s">
        <v>288</v>
      </c>
      <c r="B115" s="17" t="s">
        <v>7</v>
      </c>
      <c r="C115" s="35" t="s">
        <v>291</v>
      </c>
      <c r="D115" s="1">
        <f>+D116+D117</f>
        <v>21830</v>
      </c>
      <c r="E115" s="1">
        <f t="shared" ref="E115:AM115" si="14">+E116+E117</f>
        <v>35000</v>
      </c>
      <c r="F115" s="1">
        <f t="shared" si="14"/>
        <v>35000</v>
      </c>
      <c r="G115" s="1">
        <f t="shared" si="14"/>
        <v>0</v>
      </c>
      <c r="H115" s="1">
        <f t="shared" si="14"/>
        <v>0</v>
      </c>
      <c r="I115" s="1">
        <f t="shared" si="14"/>
        <v>0</v>
      </c>
      <c r="J115" s="1">
        <f t="shared" si="14"/>
        <v>0</v>
      </c>
      <c r="K115" s="1">
        <f t="shared" si="14"/>
        <v>0</v>
      </c>
      <c r="L115" s="1">
        <f t="shared" si="14"/>
        <v>0</v>
      </c>
      <c r="M115" s="1">
        <f t="shared" si="14"/>
        <v>0</v>
      </c>
      <c r="N115" s="1">
        <f t="shared" si="14"/>
        <v>0</v>
      </c>
      <c r="O115" s="1">
        <f t="shared" si="14"/>
        <v>0</v>
      </c>
      <c r="P115" s="1">
        <f t="shared" si="14"/>
        <v>0</v>
      </c>
      <c r="Q115" s="1">
        <f t="shared" si="14"/>
        <v>0</v>
      </c>
      <c r="R115" s="1">
        <f t="shared" si="14"/>
        <v>0</v>
      </c>
      <c r="S115" s="1">
        <f t="shared" si="14"/>
        <v>0</v>
      </c>
      <c r="T115" s="1">
        <f t="shared" si="14"/>
        <v>0</v>
      </c>
      <c r="U115" s="1">
        <f t="shared" si="14"/>
        <v>0</v>
      </c>
      <c r="V115" s="1">
        <f t="shared" si="14"/>
        <v>0</v>
      </c>
      <c r="W115" s="1">
        <f t="shared" si="14"/>
        <v>0</v>
      </c>
      <c r="X115" s="1">
        <f t="shared" si="14"/>
        <v>0</v>
      </c>
      <c r="Y115" s="1">
        <f t="shared" si="14"/>
        <v>0</v>
      </c>
      <c r="Z115" s="1">
        <f t="shared" si="14"/>
        <v>0</v>
      </c>
      <c r="AA115" s="1">
        <f t="shared" si="14"/>
        <v>0</v>
      </c>
      <c r="AB115" s="1">
        <f t="shared" si="14"/>
        <v>0</v>
      </c>
      <c r="AC115" s="1">
        <f t="shared" si="14"/>
        <v>0</v>
      </c>
      <c r="AD115" s="1">
        <f t="shared" si="14"/>
        <v>0</v>
      </c>
      <c r="AE115" s="1">
        <f t="shared" si="14"/>
        <v>0</v>
      </c>
      <c r="AF115" s="1">
        <f t="shared" si="14"/>
        <v>0</v>
      </c>
      <c r="AG115" s="1">
        <f t="shared" si="14"/>
        <v>0</v>
      </c>
      <c r="AH115" s="1">
        <f t="shared" si="14"/>
        <v>0</v>
      </c>
      <c r="AI115" s="1">
        <f t="shared" si="14"/>
        <v>0</v>
      </c>
      <c r="AJ115" s="1">
        <f t="shared" si="14"/>
        <v>0</v>
      </c>
      <c r="AK115" s="1">
        <f t="shared" si="14"/>
        <v>0</v>
      </c>
      <c r="AL115" s="1">
        <f t="shared" si="14"/>
        <v>0</v>
      </c>
      <c r="AM115" s="1">
        <f t="shared" si="14"/>
        <v>0</v>
      </c>
    </row>
    <row r="116" spans="1:42" ht="56.25" customHeight="1">
      <c r="A116" s="40" t="s">
        <v>289</v>
      </c>
      <c r="B116" s="17" t="s">
        <v>322</v>
      </c>
      <c r="C116" s="35" t="s">
        <v>290</v>
      </c>
      <c r="D116" s="1">
        <f>35000-30170</f>
        <v>4830</v>
      </c>
      <c r="E116" s="1">
        <v>35000</v>
      </c>
      <c r="F116" s="1">
        <v>35000</v>
      </c>
    </row>
    <row r="117" spans="1:42" ht="56.25" customHeight="1">
      <c r="A117" s="40" t="s">
        <v>289</v>
      </c>
      <c r="B117" s="17" t="s">
        <v>383</v>
      </c>
      <c r="C117" s="35" t="s">
        <v>290</v>
      </c>
      <c r="D117" s="1">
        <v>17000</v>
      </c>
      <c r="E117" s="1">
        <v>0</v>
      </c>
      <c r="F117" s="1">
        <v>0</v>
      </c>
    </row>
    <row r="118" spans="1:42" ht="64.5" customHeight="1">
      <c r="A118" s="40" t="s">
        <v>292</v>
      </c>
      <c r="B118" s="17" t="s">
        <v>7</v>
      </c>
      <c r="C118" s="35" t="s">
        <v>293</v>
      </c>
      <c r="D118" s="1">
        <f>+D119+D120</f>
        <v>141480</v>
      </c>
      <c r="E118" s="1">
        <f>+E119</f>
        <v>6000</v>
      </c>
      <c r="F118" s="1">
        <f>+F119</f>
        <v>6000</v>
      </c>
    </row>
    <row r="119" spans="1:42" ht="84.75" customHeight="1">
      <c r="A119" s="40" t="s">
        <v>294</v>
      </c>
      <c r="B119" s="17" t="s">
        <v>322</v>
      </c>
      <c r="C119" s="35" t="s">
        <v>295</v>
      </c>
      <c r="D119" s="1">
        <f>6000+2000+4880</f>
        <v>12880</v>
      </c>
      <c r="E119" s="1">
        <v>6000</v>
      </c>
      <c r="F119" s="1">
        <v>6000</v>
      </c>
    </row>
    <row r="120" spans="1:42" ht="84" customHeight="1">
      <c r="A120" s="40" t="s">
        <v>294</v>
      </c>
      <c r="B120" s="17" t="s">
        <v>383</v>
      </c>
      <c r="C120" s="35" t="s">
        <v>295</v>
      </c>
      <c r="D120" s="1">
        <f>24750+103850</f>
        <v>128600</v>
      </c>
      <c r="E120" s="1">
        <v>0</v>
      </c>
      <c r="F120" s="1">
        <v>0</v>
      </c>
    </row>
    <row r="121" spans="1:42" ht="48" customHeight="1">
      <c r="A121" s="40" t="s">
        <v>296</v>
      </c>
      <c r="B121" s="17" t="s">
        <v>7</v>
      </c>
      <c r="C121" s="35" t="s">
        <v>298</v>
      </c>
      <c r="D121" s="1">
        <f>+D122+D123</f>
        <v>1800</v>
      </c>
      <c r="E121" s="1">
        <f t="shared" ref="E121:F121" si="15">+E122+E123</f>
        <v>15000</v>
      </c>
      <c r="F121" s="1">
        <f t="shared" si="15"/>
        <v>15000</v>
      </c>
    </row>
    <row r="122" spans="1:42" ht="71.25" customHeight="1">
      <c r="A122" s="40" t="s">
        <v>297</v>
      </c>
      <c r="B122" s="17" t="s">
        <v>322</v>
      </c>
      <c r="C122" s="35" t="s">
        <v>299</v>
      </c>
      <c r="D122" s="1">
        <f>15000-14000</f>
        <v>1000</v>
      </c>
      <c r="E122" s="1">
        <v>15000</v>
      </c>
      <c r="F122" s="1">
        <v>15000</v>
      </c>
    </row>
    <row r="123" spans="1:42" ht="71.25" customHeight="1">
      <c r="A123" s="40" t="s">
        <v>297</v>
      </c>
      <c r="B123" s="17" t="s">
        <v>383</v>
      </c>
      <c r="C123" s="35" t="s">
        <v>299</v>
      </c>
      <c r="D123" s="1">
        <v>800</v>
      </c>
      <c r="E123" s="1"/>
      <c r="F123" s="1"/>
    </row>
    <row r="124" spans="1:42" ht="54" customHeight="1">
      <c r="A124" s="40" t="s">
        <v>440</v>
      </c>
      <c r="B124" s="17" t="s">
        <v>7</v>
      </c>
      <c r="C124" s="35" t="s">
        <v>438</v>
      </c>
      <c r="D124" s="1">
        <f>+D125</f>
        <v>170350</v>
      </c>
      <c r="E124" s="1">
        <f t="shared" ref="E124:F124" si="16">+E125</f>
        <v>0</v>
      </c>
      <c r="F124" s="1">
        <f t="shared" si="16"/>
        <v>0</v>
      </c>
    </row>
    <row r="125" spans="1:42" ht="72.75" customHeight="1">
      <c r="A125" s="40" t="s">
        <v>441</v>
      </c>
      <c r="B125" s="17" t="s">
        <v>383</v>
      </c>
      <c r="C125" s="35" t="s">
        <v>439</v>
      </c>
      <c r="D125" s="1">
        <f>70200+100150</f>
        <v>170350</v>
      </c>
      <c r="E125" s="1">
        <v>0</v>
      </c>
      <c r="F125" s="1">
        <v>0</v>
      </c>
    </row>
    <row r="126" spans="1:42" ht="51" customHeight="1">
      <c r="A126" s="40" t="s">
        <v>443</v>
      </c>
      <c r="B126" s="17" t="s">
        <v>7</v>
      </c>
      <c r="C126" s="35" t="s">
        <v>442</v>
      </c>
      <c r="D126" s="1">
        <f>+D127</f>
        <v>300</v>
      </c>
      <c r="E126" s="1">
        <f>+E127</f>
        <v>0</v>
      </c>
      <c r="F126" s="1">
        <f>+F127</f>
        <v>0</v>
      </c>
    </row>
    <row r="127" spans="1:42" ht="66" customHeight="1">
      <c r="A127" s="40" t="s">
        <v>445</v>
      </c>
      <c r="B127" s="17" t="s">
        <v>383</v>
      </c>
      <c r="C127" s="35" t="s">
        <v>444</v>
      </c>
      <c r="D127" s="1">
        <f>350-50</f>
        <v>300</v>
      </c>
      <c r="E127" s="1">
        <v>0</v>
      </c>
      <c r="F127" s="1">
        <v>0</v>
      </c>
    </row>
    <row r="128" spans="1:42" ht="61.5" customHeight="1">
      <c r="A128" s="40" t="s">
        <v>447</v>
      </c>
      <c r="B128" s="17" t="s">
        <v>7</v>
      </c>
      <c r="C128" s="35" t="s">
        <v>446</v>
      </c>
      <c r="D128" s="1">
        <f>+D129</f>
        <v>612800</v>
      </c>
      <c r="E128" s="1">
        <f t="shared" ref="E128:F128" si="17">+E129</f>
        <v>0</v>
      </c>
      <c r="F128" s="1">
        <f t="shared" si="17"/>
        <v>0</v>
      </c>
    </row>
    <row r="129" spans="1:6" ht="79.5" customHeight="1">
      <c r="A129" s="40" t="s">
        <v>449</v>
      </c>
      <c r="B129" s="17" t="s">
        <v>383</v>
      </c>
      <c r="C129" s="35" t="s">
        <v>448</v>
      </c>
      <c r="D129" s="1">
        <f>167050+445750</f>
        <v>612800</v>
      </c>
      <c r="E129" s="1">
        <v>0</v>
      </c>
      <c r="F129" s="1">
        <v>0</v>
      </c>
    </row>
    <row r="130" spans="1:6" ht="58.5" customHeight="1">
      <c r="A130" s="40" t="s">
        <v>284</v>
      </c>
      <c r="B130" s="17" t="s">
        <v>7</v>
      </c>
      <c r="C130" s="35" t="s">
        <v>285</v>
      </c>
      <c r="D130" s="1">
        <f>+D132+D131</f>
        <v>36300</v>
      </c>
      <c r="E130" s="1">
        <f t="shared" ref="E130:F130" si="18">+E132+E131</f>
        <v>20000</v>
      </c>
      <c r="F130" s="1">
        <f t="shared" si="18"/>
        <v>20000</v>
      </c>
    </row>
    <row r="131" spans="1:6" ht="93" customHeight="1">
      <c r="A131" s="40" t="s">
        <v>382</v>
      </c>
      <c r="B131" s="17" t="s">
        <v>383</v>
      </c>
      <c r="C131" s="35" t="s">
        <v>384</v>
      </c>
      <c r="D131" s="1">
        <f>150+3850+32300</f>
        <v>36300</v>
      </c>
      <c r="E131" s="1">
        <v>0</v>
      </c>
      <c r="F131" s="1">
        <v>0</v>
      </c>
    </row>
    <row r="132" spans="1:6" ht="172.5" customHeight="1">
      <c r="A132" s="40" t="s">
        <v>286</v>
      </c>
      <c r="B132" s="17" t="s">
        <v>173</v>
      </c>
      <c r="C132" s="35" t="s">
        <v>287</v>
      </c>
      <c r="D132" s="1">
        <f>20000-20000</f>
        <v>0</v>
      </c>
      <c r="E132" s="1">
        <v>20000</v>
      </c>
      <c r="F132" s="1">
        <v>20000</v>
      </c>
    </row>
    <row r="133" spans="1:6" ht="59.25" customHeight="1">
      <c r="A133" s="116" t="s">
        <v>497</v>
      </c>
      <c r="B133" s="17" t="s">
        <v>7</v>
      </c>
      <c r="C133" s="35" t="s">
        <v>498</v>
      </c>
      <c r="D133" s="1">
        <f>D134</f>
        <v>4000</v>
      </c>
      <c r="E133" s="1">
        <f t="shared" ref="E133:F133" si="19">E134</f>
        <v>0</v>
      </c>
      <c r="F133" s="1">
        <f t="shared" si="19"/>
        <v>0</v>
      </c>
    </row>
    <row r="134" spans="1:6" ht="69" customHeight="1">
      <c r="A134" s="116" t="s">
        <v>499</v>
      </c>
      <c r="B134" s="17" t="s">
        <v>383</v>
      </c>
      <c r="C134" s="35" t="s">
        <v>500</v>
      </c>
      <c r="D134" s="1">
        <v>4000</v>
      </c>
      <c r="E134" s="1">
        <v>0</v>
      </c>
      <c r="F134" s="1">
        <v>0</v>
      </c>
    </row>
    <row r="135" spans="1:6" ht="47.25" customHeight="1">
      <c r="A135" s="40" t="s">
        <v>300</v>
      </c>
      <c r="B135" s="17" t="s">
        <v>7</v>
      </c>
      <c r="C135" s="35" t="s">
        <v>302</v>
      </c>
      <c r="D135" s="1">
        <f>+D136+D137</f>
        <v>438280</v>
      </c>
      <c r="E135" s="1">
        <f t="shared" ref="E135:F135" si="20">+E136+E137</f>
        <v>10000</v>
      </c>
      <c r="F135" s="1">
        <f t="shared" si="20"/>
        <v>10000</v>
      </c>
    </row>
    <row r="136" spans="1:6" ht="72.75" customHeight="1">
      <c r="A136" s="40" t="s">
        <v>301</v>
      </c>
      <c r="B136" s="17" t="s">
        <v>322</v>
      </c>
      <c r="C136" s="35" t="s">
        <v>303</v>
      </c>
      <c r="D136" s="1">
        <f>10000-7320</f>
        <v>2680</v>
      </c>
      <c r="E136" s="1">
        <v>10000</v>
      </c>
      <c r="F136" s="1">
        <v>10000</v>
      </c>
    </row>
    <row r="137" spans="1:6" ht="72.75" customHeight="1">
      <c r="A137" s="40" t="s">
        <v>301</v>
      </c>
      <c r="B137" s="17" t="s">
        <v>383</v>
      </c>
      <c r="C137" s="35" t="s">
        <v>303</v>
      </c>
      <c r="D137" s="1">
        <f>144300+291300</f>
        <v>435600</v>
      </c>
      <c r="E137" s="1">
        <v>0</v>
      </c>
      <c r="F137" s="1">
        <v>0</v>
      </c>
    </row>
    <row r="138" spans="1:6" ht="55.5" customHeight="1">
      <c r="A138" s="40" t="s">
        <v>304</v>
      </c>
      <c r="B138" s="17" t="s">
        <v>7</v>
      </c>
      <c r="C138" s="35" t="s">
        <v>306</v>
      </c>
      <c r="D138" s="1">
        <f>+D139+D140</f>
        <v>606270</v>
      </c>
      <c r="E138" s="1">
        <f t="shared" ref="E138:F138" si="21">+E139+E140</f>
        <v>15000</v>
      </c>
      <c r="F138" s="1">
        <f t="shared" si="21"/>
        <v>15000</v>
      </c>
    </row>
    <row r="139" spans="1:6" ht="82.5" customHeight="1">
      <c r="A139" s="40" t="s">
        <v>305</v>
      </c>
      <c r="B139" s="17" t="s">
        <v>322</v>
      </c>
      <c r="C139" s="35" t="s">
        <v>307</v>
      </c>
      <c r="D139" s="1">
        <f>15000-8730</f>
        <v>6270</v>
      </c>
      <c r="E139" s="1">
        <v>15000</v>
      </c>
      <c r="F139" s="1">
        <v>15000</v>
      </c>
    </row>
    <row r="140" spans="1:6" ht="78.75" customHeight="1">
      <c r="A140" s="40" t="s">
        <v>305</v>
      </c>
      <c r="B140" s="17" t="s">
        <v>383</v>
      </c>
      <c r="C140" s="35" t="s">
        <v>307</v>
      </c>
      <c r="D140" s="1">
        <f>500+57200+542300</f>
        <v>600000</v>
      </c>
      <c r="E140" s="1">
        <v>0</v>
      </c>
      <c r="F140" s="1">
        <v>0</v>
      </c>
    </row>
    <row r="141" spans="1:6" ht="34.5" customHeight="1">
      <c r="A141" s="40" t="s">
        <v>308</v>
      </c>
      <c r="B141" s="45" t="s">
        <v>7</v>
      </c>
      <c r="C141" s="46" t="s">
        <v>309</v>
      </c>
      <c r="D141" s="1">
        <f>+D142</f>
        <v>43000</v>
      </c>
      <c r="E141" s="1">
        <f>+E142</f>
        <v>131000</v>
      </c>
      <c r="F141" s="1">
        <f>+F142</f>
        <v>131000</v>
      </c>
    </row>
    <row r="142" spans="1:6" ht="57.75" customHeight="1">
      <c r="A142" s="40" t="s">
        <v>433</v>
      </c>
      <c r="B142" s="45" t="s">
        <v>148</v>
      </c>
      <c r="C142" s="46" t="s">
        <v>323</v>
      </c>
      <c r="D142" s="1">
        <f>131000-88000</f>
        <v>43000</v>
      </c>
      <c r="E142" s="1">
        <v>131000</v>
      </c>
      <c r="F142" s="1">
        <v>131000</v>
      </c>
    </row>
    <row r="143" spans="1:6" ht="90.75" customHeight="1">
      <c r="A143" s="16" t="s">
        <v>275</v>
      </c>
      <c r="B143" s="17" t="s">
        <v>7</v>
      </c>
      <c r="C143" s="33" t="s">
        <v>431</v>
      </c>
      <c r="D143" s="1">
        <f>+D147+D144</f>
        <v>5171375</v>
      </c>
      <c r="E143" s="1">
        <f t="shared" ref="E143:F143" si="22">+E147+E144</f>
        <v>4501000</v>
      </c>
      <c r="F143" s="1">
        <f t="shared" si="22"/>
        <v>4665000</v>
      </c>
    </row>
    <row r="144" spans="1:6" ht="53.25" customHeight="1">
      <c r="A144" s="16" t="s">
        <v>326</v>
      </c>
      <c r="B144" s="17" t="s">
        <v>7</v>
      </c>
      <c r="C144" s="33" t="s">
        <v>327</v>
      </c>
      <c r="D144" s="1">
        <f>+D146+D145</f>
        <v>5375</v>
      </c>
      <c r="E144" s="1">
        <f t="shared" ref="E144:F144" si="23">+E146+E145</f>
        <v>288000</v>
      </c>
      <c r="F144" s="1">
        <f t="shared" si="23"/>
        <v>288000</v>
      </c>
    </row>
    <row r="145" spans="1:39" ht="53.25" customHeight="1">
      <c r="A145" s="111" t="s">
        <v>329</v>
      </c>
      <c r="B145" s="17" t="s">
        <v>76</v>
      </c>
      <c r="C145" s="35" t="s">
        <v>328</v>
      </c>
      <c r="D145" s="1">
        <v>4075</v>
      </c>
      <c r="E145" s="1">
        <v>0</v>
      </c>
      <c r="F145" s="1">
        <v>0</v>
      </c>
    </row>
    <row r="146" spans="1:39" ht="69" customHeight="1">
      <c r="A146" s="16" t="s">
        <v>329</v>
      </c>
      <c r="B146" s="17" t="s">
        <v>80</v>
      </c>
      <c r="C146" s="35" t="s">
        <v>328</v>
      </c>
      <c r="D146" s="1">
        <f>288000-151000-135700</f>
        <v>1300</v>
      </c>
      <c r="E146" s="1">
        <v>288000</v>
      </c>
      <c r="F146" s="1">
        <v>288000</v>
      </c>
    </row>
    <row r="147" spans="1:39" ht="69" customHeight="1">
      <c r="A147" s="16" t="s">
        <v>432</v>
      </c>
      <c r="B147" s="17" t="s">
        <v>7</v>
      </c>
      <c r="C147" s="19" t="s">
        <v>276</v>
      </c>
      <c r="D147" s="1">
        <f>+D148+D149+D150</f>
        <v>5166000</v>
      </c>
      <c r="E147" s="1">
        <f t="shared" ref="E147:F147" si="24">+E148+E149+E150</f>
        <v>4213000</v>
      </c>
      <c r="F147" s="1">
        <f t="shared" si="24"/>
        <v>4377000</v>
      </c>
    </row>
    <row r="148" spans="1:39" ht="69.75" customHeight="1">
      <c r="A148" s="16" t="s">
        <v>279</v>
      </c>
      <c r="B148" s="17" t="s">
        <v>76</v>
      </c>
      <c r="C148" s="19" t="s">
        <v>278</v>
      </c>
      <c r="D148" s="1">
        <f>75000+181000+100000</f>
        <v>356000</v>
      </c>
      <c r="E148" s="1">
        <v>78000</v>
      </c>
      <c r="F148" s="1">
        <v>81000</v>
      </c>
    </row>
    <row r="149" spans="1:39" ht="68.25" customHeight="1">
      <c r="A149" s="16" t="s">
        <v>281</v>
      </c>
      <c r="B149" s="17" t="s">
        <v>76</v>
      </c>
      <c r="C149" s="19" t="s">
        <v>280</v>
      </c>
      <c r="D149" s="1">
        <f>3980000+800000</f>
        <v>4780000</v>
      </c>
      <c r="E149" s="1">
        <v>4135000</v>
      </c>
      <c r="F149" s="1">
        <v>4296000</v>
      </c>
    </row>
    <row r="150" spans="1:39" ht="56.25" customHeight="1">
      <c r="A150" s="16" t="s">
        <v>376</v>
      </c>
      <c r="B150" s="17" t="s">
        <v>80</v>
      </c>
      <c r="C150" s="19" t="s">
        <v>375</v>
      </c>
      <c r="D150" s="1">
        <f>5000+25000</f>
        <v>30000</v>
      </c>
      <c r="E150" s="1">
        <v>0</v>
      </c>
      <c r="F150" s="1">
        <v>0</v>
      </c>
    </row>
    <row r="151" spans="1:39" ht="24.75" customHeight="1">
      <c r="A151" s="47" t="s">
        <v>452</v>
      </c>
      <c r="B151" s="17" t="s">
        <v>7</v>
      </c>
      <c r="C151" s="48" t="s">
        <v>451</v>
      </c>
      <c r="D151" s="1">
        <f>+D154+D152</f>
        <v>2931054</v>
      </c>
      <c r="E151" s="1">
        <f t="shared" ref="E151:F151" si="25">+E154+E152</f>
        <v>0</v>
      </c>
      <c r="F151" s="1">
        <f t="shared" si="25"/>
        <v>0</v>
      </c>
    </row>
    <row r="152" spans="1:39" ht="76.5" customHeight="1">
      <c r="A152" s="16" t="s">
        <v>467</v>
      </c>
      <c r="B152" s="17" t="s">
        <v>7</v>
      </c>
      <c r="C152" s="19" t="s">
        <v>469</v>
      </c>
      <c r="D152" s="1">
        <f>D153</f>
        <v>92000</v>
      </c>
      <c r="E152" s="1">
        <f t="shared" ref="E152:F152" si="26">E153</f>
        <v>0</v>
      </c>
      <c r="F152" s="1">
        <f t="shared" si="26"/>
        <v>0</v>
      </c>
    </row>
    <row r="153" spans="1:39" ht="42" customHeight="1">
      <c r="A153" s="16" t="s">
        <v>468</v>
      </c>
      <c r="B153" s="17" t="s">
        <v>80</v>
      </c>
      <c r="C153" s="19" t="s">
        <v>470</v>
      </c>
      <c r="D153" s="1">
        <f>8000+84000</f>
        <v>92000</v>
      </c>
      <c r="E153" s="1">
        <v>0</v>
      </c>
      <c r="F153" s="1">
        <v>0</v>
      </c>
    </row>
    <row r="154" spans="1:39" ht="56.25" customHeight="1">
      <c r="A154" s="16" t="s">
        <v>378</v>
      </c>
      <c r="B154" s="17" t="s">
        <v>7</v>
      </c>
      <c r="C154" s="19" t="s">
        <v>377</v>
      </c>
      <c r="D154" s="1">
        <f>+D155+D165</f>
        <v>2839054</v>
      </c>
      <c r="E154" s="1">
        <f>+E155+E166</f>
        <v>0</v>
      </c>
      <c r="F154" s="1">
        <f>+F155+F166</f>
        <v>0</v>
      </c>
    </row>
    <row r="155" spans="1:39" ht="58.5" customHeight="1">
      <c r="A155" s="16" t="s">
        <v>434</v>
      </c>
      <c r="B155" s="17" t="s">
        <v>7</v>
      </c>
      <c r="C155" s="19" t="s">
        <v>486</v>
      </c>
      <c r="D155" s="1">
        <f>+D157+D159+D158+D160+D162+D163+D164+D156+D161</f>
        <v>2728504</v>
      </c>
      <c r="E155" s="1">
        <f t="shared" ref="E155:F155" si="27">+E157+E159+E158+E160+E162+E163+E164+E156+E161</f>
        <v>0</v>
      </c>
      <c r="F155" s="1">
        <f t="shared" si="27"/>
        <v>0</v>
      </c>
      <c r="G155" s="1">
        <f t="shared" ref="G155:AM155" si="28">+G157+G159+G158+G160+G162+G163+G164+G156</f>
        <v>0</v>
      </c>
      <c r="H155" s="1">
        <f t="shared" si="28"/>
        <v>0</v>
      </c>
      <c r="I155" s="1">
        <f t="shared" si="28"/>
        <v>0</v>
      </c>
      <c r="J155" s="1">
        <f t="shared" si="28"/>
        <v>0</v>
      </c>
      <c r="K155" s="1">
        <f t="shared" si="28"/>
        <v>0</v>
      </c>
      <c r="L155" s="1">
        <f t="shared" si="28"/>
        <v>0</v>
      </c>
      <c r="M155" s="1">
        <f t="shared" si="28"/>
        <v>0</v>
      </c>
      <c r="N155" s="1">
        <f t="shared" si="28"/>
        <v>0</v>
      </c>
      <c r="O155" s="1">
        <f t="shared" si="28"/>
        <v>0</v>
      </c>
      <c r="P155" s="1">
        <f t="shared" si="28"/>
        <v>0</v>
      </c>
      <c r="Q155" s="1">
        <f t="shared" si="28"/>
        <v>0</v>
      </c>
      <c r="R155" s="1">
        <f t="shared" si="28"/>
        <v>0</v>
      </c>
      <c r="S155" s="1">
        <f t="shared" si="28"/>
        <v>0</v>
      </c>
      <c r="T155" s="1">
        <f t="shared" si="28"/>
        <v>0</v>
      </c>
      <c r="U155" s="1">
        <f t="shared" si="28"/>
        <v>0</v>
      </c>
      <c r="V155" s="1">
        <f t="shared" si="28"/>
        <v>0</v>
      </c>
      <c r="W155" s="1">
        <f t="shared" si="28"/>
        <v>0</v>
      </c>
      <c r="X155" s="1">
        <f t="shared" si="28"/>
        <v>0</v>
      </c>
      <c r="Y155" s="1">
        <f t="shared" si="28"/>
        <v>0</v>
      </c>
      <c r="Z155" s="1">
        <f t="shared" si="28"/>
        <v>0</v>
      </c>
      <c r="AA155" s="1">
        <f t="shared" si="28"/>
        <v>0</v>
      </c>
      <c r="AB155" s="1">
        <f t="shared" si="28"/>
        <v>0</v>
      </c>
      <c r="AC155" s="1">
        <f t="shared" si="28"/>
        <v>0</v>
      </c>
      <c r="AD155" s="1">
        <f t="shared" si="28"/>
        <v>0</v>
      </c>
      <c r="AE155" s="1">
        <f t="shared" si="28"/>
        <v>0</v>
      </c>
      <c r="AF155" s="1">
        <f t="shared" si="28"/>
        <v>0</v>
      </c>
      <c r="AG155" s="1">
        <f t="shared" si="28"/>
        <v>0</v>
      </c>
      <c r="AH155" s="1">
        <f t="shared" si="28"/>
        <v>0</v>
      </c>
      <c r="AI155" s="1">
        <f t="shared" si="28"/>
        <v>0</v>
      </c>
      <c r="AJ155" s="1">
        <f t="shared" si="28"/>
        <v>0</v>
      </c>
      <c r="AK155" s="1">
        <f t="shared" si="28"/>
        <v>0</v>
      </c>
      <c r="AL155" s="1">
        <f t="shared" si="28"/>
        <v>0</v>
      </c>
      <c r="AM155" s="1">
        <f t="shared" si="28"/>
        <v>0</v>
      </c>
    </row>
    <row r="156" spans="1:39" ht="112.5" customHeight="1">
      <c r="A156" s="111" t="s">
        <v>374</v>
      </c>
      <c r="B156" s="17" t="s">
        <v>501</v>
      </c>
      <c r="C156" s="19" t="s">
        <v>372</v>
      </c>
      <c r="D156" s="1">
        <v>2020</v>
      </c>
      <c r="E156" s="1">
        <v>0</v>
      </c>
      <c r="F156" s="1">
        <v>0</v>
      </c>
    </row>
    <row r="157" spans="1:39" ht="109.5" customHeight="1">
      <c r="A157" s="16" t="s">
        <v>374</v>
      </c>
      <c r="B157" s="17" t="s">
        <v>379</v>
      </c>
      <c r="C157" s="19" t="s">
        <v>486</v>
      </c>
      <c r="D157" s="1">
        <f>5500+60500-41492</f>
        <v>24508</v>
      </c>
      <c r="E157" s="1">
        <v>0</v>
      </c>
      <c r="F157" s="1">
        <v>0</v>
      </c>
    </row>
    <row r="158" spans="1:39" ht="108.75" customHeight="1">
      <c r="A158" s="16" t="s">
        <v>374</v>
      </c>
      <c r="B158" s="17" t="s">
        <v>14</v>
      </c>
      <c r="C158" s="19" t="s">
        <v>486</v>
      </c>
      <c r="D158" s="1">
        <f>13000-3000</f>
        <v>10000</v>
      </c>
      <c r="E158" s="1">
        <v>0</v>
      </c>
      <c r="F158" s="1">
        <v>0</v>
      </c>
    </row>
    <row r="159" spans="1:39" ht="110.25" customHeight="1">
      <c r="A159" s="16" t="s">
        <v>374</v>
      </c>
      <c r="B159" s="17" t="s">
        <v>373</v>
      </c>
      <c r="C159" s="19" t="s">
        <v>486</v>
      </c>
      <c r="D159" s="1">
        <f>220850+779660+1099490</f>
        <v>2100000</v>
      </c>
      <c r="E159" s="1">
        <v>0</v>
      </c>
      <c r="F159" s="1">
        <v>0</v>
      </c>
    </row>
    <row r="160" spans="1:39" ht="107.25" customHeight="1">
      <c r="A160" s="16" t="s">
        <v>374</v>
      </c>
      <c r="B160" s="17" t="s">
        <v>450</v>
      </c>
      <c r="C160" s="19" t="s">
        <v>486</v>
      </c>
      <c r="D160" s="1">
        <f>3150+850</f>
        <v>4000</v>
      </c>
      <c r="E160" s="1">
        <v>0</v>
      </c>
      <c r="F160" s="1">
        <v>0</v>
      </c>
    </row>
    <row r="161" spans="1:38" s="107" customFormat="1" ht="107.25" customHeight="1">
      <c r="A161" s="111" t="s">
        <v>374</v>
      </c>
      <c r="B161" s="17" t="s">
        <v>502</v>
      </c>
      <c r="C161" s="19" t="s">
        <v>372</v>
      </c>
      <c r="D161" s="1">
        <v>10120</v>
      </c>
      <c r="E161" s="1">
        <v>0</v>
      </c>
      <c r="F161" s="1">
        <v>0</v>
      </c>
      <c r="U161" s="108"/>
      <c r="V161" s="108"/>
      <c r="W161" s="109"/>
      <c r="AD161" s="110"/>
      <c r="AE161" s="110"/>
      <c r="AF161" s="110"/>
      <c r="AG161" s="110"/>
      <c r="AH161" s="110"/>
      <c r="AI161" s="110"/>
      <c r="AJ161" s="108"/>
      <c r="AK161" s="108"/>
      <c r="AL161" s="108"/>
    </row>
    <row r="162" spans="1:38" ht="108" customHeight="1">
      <c r="A162" s="16" t="s">
        <v>374</v>
      </c>
      <c r="B162" s="17" t="s">
        <v>471</v>
      </c>
      <c r="C162" s="19" t="s">
        <v>486</v>
      </c>
      <c r="D162" s="1">
        <v>30000</v>
      </c>
      <c r="E162" s="1">
        <v>0</v>
      </c>
      <c r="F162" s="1">
        <v>0</v>
      </c>
    </row>
    <row r="163" spans="1:38" ht="108.75" customHeight="1">
      <c r="A163" s="16" t="s">
        <v>374</v>
      </c>
      <c r="B163" s="17" t="s">
        <v>148</v>
      </c>
      <c r="C163" s="19" t="s">
        <v>372</v>
      </c>
      <c r="D163" s="1">
        <v>380856</v>
      </c>
      <c r="E163" s="1">
        <v>0</v>
      </c>
      <c r="F163" s="1">
        <v>0</v>
      </c>
    </row>
    <row r="164" spans="1:38" ht="93" customHeight="1">
      <c r="A164" s="16" t="s">
        <v>374</v>
      </c>
      <c r="B164" s="17" t="s">
        <v>80</v>
      </c>
      <c r="C164" s="19" t="s">
        <v>372</v>
      </c>
      <c r="D164" s="1">
        <f>45000+122000</f>
        <v>167000</v>
      </c>
      <c r="E164" s="1">
        <v>0</v>
      </c>
      <c r="F164" s="1">
        <v>0</v>
      </c>
    </row>
    <row r="165" spans="1:38" ht="67.5" customHeight="1">
      <c r="A165" s="16" t="s">
        <v>380</v>
      </c>
      <c r="B165" s="17" t="s">
        <v>7</v>
      </c>
      <c r="C165" s="19" t="s">
        <v>381</v>
      </c>
      <c r="D165" s="1">
        <f>+D166</f>
        <v>110550</v>
      </c>
      <c r="E165" s="1">
        <v>0</v>
      </c>
      <c r="F165" s="1">
        <v>0</v>
      </c>
    </row>
    <row r="166" spans="1:38" ht="70.150000000000006" customHeight="1">
      <c r="A166" s="16" t="s">
        <v>380</v>
      </c>
      <c r="B166" s="17" t="s">
        <v>14</v>
      </c>
      <c r="C166" s="19" t="s">
        <v>381</v>
      </c>
      <c r="D166" s="1">
        <f>18000+54000+38550</f>
        <v>110550</v>
      </c>
      <c r="E166" s="1">
        <v>0</v>
      </c>
      <c r="F166" s="1">
        <v>0</v>
      </c>
    </row>
    <row r="167" spans="1:38" ht="22.5" customHeight="1">
      <c r="A167" s="49" t="s">
        <v>310</v>
      </c>
      <c r="B167" s="45" t="s">
        <v>7</v>
      </c>
      <c r="C167" s="46" t="s">
        <v>311</v>
      </c>
      <c r="D167" s="1">
        <f t="shared" ref="D167:F168" si="29">+D168</f>
        <v>1000</v>
      </c>
      <c r="E167" s="1">
        <f t="shared" si="29"/>
        <v>1000</v>
      </c>
      <c r="F167" s="1">
        <f t="shared" si="29"/>
        <v>1000</v>
      </c>
    </row>
    <row r="168" spans="1:38" ht="30" customHeight="1">
      <c r="A168" s="49" t="s">
        <v>312</v>
      </c>
      <c r="B168" s="45" t="s">
        <v>7</v>
      </c>
      <c r="C168" s="46" t="s">
        <v>313</v>
      </c>
      <c r="D168" s="1">
        <f t="shared" si="29"/>
        <v>1000</v>
      </c>
      <c r="E168" s="1">
        <f t="shared" si="29"/>
        <v>1000</v>
      </c>
      <c r="F168" s="1">
        <f t="shared" si="29"/>
        <v>1000</v>
      </c>
    </row>
    <row r="169" spans="1:38" ht="58.9" customHeight="1">
      <c r="A169" s="49" t="s">
        <v>314</v>
      </c>
      <c r="B169" s="45" t="s">
        <v>80</v>
      </c>
      <c r="C169" s="46" t="s">
        <v>315</v>
      </c>
      <c r="D169" s="1">
        <v>1000</v>
      </c>
      <c r="E169" s="1">
        <v>1000</v>
      </c>
      <c r="F169" s="1">
        <v>1000</v>
      </c>
    </row>
    <row r="170" spans="1:38" ht="23.25" customHeight="1">
      <c r="A170" s="16" t="s">
        <v>174</v>
      </c>
      <c r="B170" s="17" t="s">
        <v>7</v>
      </c>
      <c r="C170" s="19" t="s">
        <v>175</v>
      </c>
      <c r="D170" s="1">
        <f t="shared" ref="D170:F172" si="30">+D171</f>
        <v>24000</v>
      </c>
      <c r="E170" s="1">
        <f t="shared" si="30"/>
        <v>16000</v>
      </c>
      <c r="F170" s="1">
        <f t="shared" si="30"/>
        <v>5000</v>
      </c>
    </row>
    <row r="171" spans="1:38" ht="19.5" customHeight="1">
      <c r="A171" s="16" t="s">
        <v>176</v>
      </c>
      <c r="B171" s="17" t="s">
        <v>7</v>
      </c>
      <c r="C171" s="19" t="s">
        <v>177</v>
      </c>
      <c r="D171" s="1">
        <f t="shared" si="30"/>
        <v>24000</v>
      </c>
      <c r="E171" s="1">
        <f t="shared" si="30"/>
        <v>16000</v>
      </c>
      <c r="F171" s="1">
        <f t="shared" si="30"/>
        <v>5000</v>
      </c>
    </row>
    <row r="172" spans="1:38" ht="24" customHeight="1">
      <c r="A172" s="16" t="s">
        <v>178</v>
      </c>
      <c r="B172" s="17" t="s">
        <v>7</v>
      </c>
      <c r="C172" s="19" t="s">
        <v>179</v>
      </c>
      <c r="D172" s="1">
        <f>+D173</f>
        <v>24000</v>
      </c>
      <c r="E172" s="1">
        <f t="shared" si="30"/>
        <v>16000</v>
      </c>
      <c r="F172" s="1">
        <f t="shared" si="30"/>
        <v>5000</v>
      </c>
    </row>
    <row r="173" spans="1:38" ht="33.75" customHeight="1">
      <c r="A173" s="16" t="s">
        <v>225</v>
      </c>
      <c r="B173" s="17" t="s">
        <v>76</v>
      </c>
      <c r="C173" s="19" t="s">
        <v>180</v>
      </c>
      <c r="D173" s="1">
        <f>32000-8000</f>
        <v>24000</v>
      </c>
      <c r="E173" s="1">
        <v>16000</v>
      </c>
      <c r="F173" s="1">
        <v>5000</v>
      </c>
    </row>
    <row r="174" spans="1:38" ht="18.600000000000001" customHeight="1">
      <c r="A174" s="16" t="s">
        <v>181</v>
      </c>
      <c r="B174" s="17" t="s">
        <v>7</v>
      </c>
      <c r="C174" s="19" t="s">
        <v>182</v>
      </c>
      <c r="D174" s="1">
        <f>+D175+D244+D247+D253</f>
        <v>2037192012.3200002</v>
      </c>
      <c r="E174" s="1">
        <f>+E175+E244</f>
        <v>1688403784.22</v>
      </c>
      <c r="F174" s="1">
        <f>+F175+F244</f>
        <v>1632737779.1700001</v>
      </c>
      <c r="AC174" s="13"/>
    </row>
    <row r="175" spans="1:38" ht="31.5" customHeight="1">
      <c r="A175" s="50" t="s">
        <v>183</v>
      </c>
      <c r="B175" s="17" t="s">
        <v>7</v>
      </c>
      <c r="C175" s="19" t="s">
        <v>184</v>
      </c>
      <c r="D175" s="1">
        <f>+D210+D176+D181+D237</f>
        <v>2037596150.6300001</v>
      </c>
      <c r="E175" s="1">
        <f t="shared" ref="E175:F175" si="31">+E210+E176+E181+E237</f>
        <v>1688403784.22</v>
      </c>
      <c r="F175" s="1">
        <f t="shared" si="31"/>
        <v>1632737779.1700001</v>
      </c>
    </row>
    <row r="176" spans="1:38" ht="22.5" customHeight="1">
      <c r="A176" s="50" t="s">
        <v>185</v>
      </c>
      <c r="B176" s="17" t="s">
        <v>7</v>
      </c>
      <c r="C176" s="19" t="s">
        <v>226</v>
      </c>
      <c r="D176" s="1">
        <f>+D177+D179</f>
        <v>184430400</v>
      </c>
      <c r="E176" s="1">
        <f t="shared" ref="E176:F176" si="32">+E177+E179</f>
        <v>90204300</v>
      </c>
      <c r="F176" s="1">
        <f t="shared" si="32"/>
        <v>99630000</v>
      </c>
    </row>
    <row r="177" spans="1:38" ht="20.25" customHeight="1">
      <c r="A177" s="51" t="s">
        <v>186</v>
      </c>
      <c r="B177" s="17" t="s">
        <v>7</v>
      </c>
      <c r="C177" s="33" t="s">
        <v>227</v>
      </c>
      <c r="D177" s="1">
        <f>+D178</f>
        <v>114265800</v>
      </c>
      <c r="E177" s="1">
        <f t="shared" ref="E177:F177" si="33">+E178</f>
        <v>90204300</v>
      </c>
      <c r="F177" s="1">
        <f t="shared" si="33"/>
        <v>99630000</v>
      </c>
    </row>
    <row r="178" spans="1:38" ht="30" customHeight="1">
      <c r="A178" s="51" t="s">
        <v>385</v>
      </c>
      <c r="B178" s="17" t="s">
        <v>147</v>
      </c>
      <c r="C178" s="19" t="s">
        <v>318</v>
      </c>
      <c r="D178" s="1">
        <f>800+114265000</f>
        <v>114265800</v>
      </c>
      <c r="E178" s="1">
        <f>1000+90203300</f>
        <v>90204300</v>
      </c>
      <c r="F178" s="1">
        <f>800+99629200</f>
        <v>99630000</v>
      </c>
    </row>
    <row r="179" spans="1:38" ht="30" customHeight="1">
      <c r="A179" s="34" t="s">
        <v>459</v>
      </c>
      <c r="B179" s="17" t="s">
        <v>7</v>
      </c>
      <c r="C179" s="19" t="s">
        <v>460</v>
      </c>
      <c r="D179" s="1">
        <f>+D180</f>
        <v>70164600</v>
      </c>
      <c r="E179" s="1">
        <f t="shared" ref="E179:F179" si="34">+E180</f>
        <v>0</v>
      </c>
      <c r="F179" s="1">
        <f t="shared" si="34"/>
        <v>0</v>
      </c>
      <c r="U179" s="5"/>
      <c r="V179" s="5"/>
      <c r="W179" s="36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ht="30" customHeight="1">
      <c r="A180" s="40" t="s">
        <v>461</v>
      </c>
      <c r="B180" s="17" t="s">
        <v>147</v>
      </c>
      <c r="C180" s="35" t="s">
        <v>462</v>
      </c>
      <c r="D180" s="1">
        <f>17149100+53015500</f>
        <v>70164600</v>
      </c>
      <c r="E180" s="1">
        <v>0</v>
      </c>
      <c r="F180" s="1">
        <v>0</v>
      </c>
      <c r="U180" s="5"/>
      <c r="V180" s="5"/>
      <c r="W180" s="36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ht="30" customHeight="1">
      <c r="A181" s="16" t="s">
        <v>187</v>
      </c>
      <c r="B181" s="17" t="s">
        <v>7</v>
      </c>
      <c r="C181" s="17" t="s">
        <v>228</v>
      </c>
      <c r="D181" s="1">
        <f>+D188+D196+D194+D192+D190+D182+D186+D184</f>
        <v>313663850.63</v>
      </c>
      <c r="E181" s="1">
        <f t="shared" ref="E181:F181" si="35">+E188+E196+E194+E192+E190+E182+E186+E184</f>
        <v>134100384.22</v>
      </c>
      <c r="F181" s="1">
        <f t="shared" si="35"/>
        <v>68907379.170000002</v>
      </c>
    </row>
    <row r="182" spans="1:38" ht="95.45" customHeight="1">
      <c r="A182" s="16" t="s">
        <v>478</v>
      </c>
      <c r="B182" s="17" t="s">
        <v>7</v>
      </c>
      <c r="C182" s="17" t="s">
        <v>479</v>
      </c>
      <c r="D182" s="1">
        <f>+D183</f>
        <v>6913087.5</v>
      </c>
      <c r="E182" s="1">
        <f t="shared" ref="E182:F182" si="36">+E183</f>
        <v>0</v>
      </c>
      <c r="F182" s="1">
        <f t="shared" si="36"/>
        <v>0</v>
      </c>
    </row>
    <row r="183" spans="1:38" ht="94.9" customHeight="1">
      <c r="A183" s="16" t="s">
        <v>477</v>
      </c>
      <c r="B183" s="17" t="s">
        <v>80</v>
      </c>
      <c r="C183" s="17" t="s">
        <v>476</v>
      </c>
      <c r="D183" s="1">
        <v>6913087.5</v>
      </c>
      <c r="E183" s="1">
        <v>0</v>
      </c>
      <c r="F183" s="1">
        <v>0</v>
      </c>
    </row>
    <row r="184" spans="1:38" ht="61.9" customHeight="1">
      <c r="A184" s="16" t="s">
        <v>488</v>
      </c>
      <c r="B184" s="17" t="s">
        <v>7</v>
      </c>
      <c r="C184" s="17" t="s">
        <v>491</v>
      </c>
      <c r="D184" s="1">
        <f>+D185</f>
        <v>162097</v>
      </c>
      <c r="E184" s="1">
        <f t="shared" ref="E184:F184" si="37">+E185</f>
        <v>0</v>
      </c>
      <c r="F184" s="1">
        <f t="shared" si="37"/>
        <v>0</v>
      </c>
    </row>
    <row r="185" spans="1:38" ht="61.9" customHeight="1">
      <c r="A185" s="16" t="s">
        <v>489</v>
      </c>
      <c r="B185" s="17" t="s">
        <v>357</v>
      </c>
      <c r="C185" s="17" t="s">
        <v>490</v>
      </c>
      <c r="D185" s="1">
        <v>162097</v>
      </c>
      <c r="E185" s="1">
        <v>0</v>
      </c>
      <c r="F185" s="1">
        <v>0</v>
      </c>
    </row>
    <row r="186" spans="1:38" ht="44.45" customHeight="1">
      <c r="A186" s="16" t="s">
        <v>484</v>
      </c>
      <c r="B186" s="17" t="s">
        <v>7</v>
      </c>
      <c r="C186" s="17" t="s">
        <v>485</v>
      </c>
      <c r="D186" s="1">
        <f>+D187</f>
        <v>25860500</v>
      </c>
      <c r="E186" s="1">
        <f t="shared" ref="E186:F186" si="38">+E187</f>
        <v>0</v>
      </c>
      <c r="F186" s="1">
        <f t="shared" si="38"/>
        <v>0</v>
      </c>
    </row>
    <row r="187" spans="1:38" ht="55.15" customHeight="1">
      <c r="A187" s="16" t="s">
        <v>482</v>
      </c>
      <c r="B187" s="17" t="s">
        <v>146</v>
      </c>
      <c r="C187" s="17" t="s">
        <v>483</v>
      </c>
      <c r="D187" s="1">
        <v>25860500</v>
      </c>
      <c r="E187" s="1">
        <v>0</v>
      </c>
      <c r="F187" s="1">
        <v>0</v>
      </c>
    </row>
    <row r="188" spans="1:38" ht="42" customHeight="1">
      <c r="A188" s="52" t="s">
        <v>325</v>
      </c>
      <c r="B188" s="45" t="s">
        <v>7</v>
      </c>
      <c r="C188" s="45" t="s">
        <v>262</v>
      </c>
      <c r="D188" s="1">
        <f>D189</f>
        <v>5388684.2199999997</v>
      </c>
      <c r="E188" s="1">
        <f>E189</f>
        <v>5388684.2199999997</v>
      </c>
      <c r="F188" s="1">
        <f>F189</f>
        <v>5542579.1699999999</v>
      </c>
    </row>
    <row r="189" spans="1:38" ht="54.6" customHeight="1">
      <c r="A189" s="52" t="s">
        <v>261</v>
      </c>
      <c r="B189" s="17" t="s">
        <v>260</v>
      </c>
      <c r="C189" s="17" t="s">
        <v>259</v>
      </c>
      <c r="D189" s="1">
        <f>5388700-15.78</f>
        <v>5388684.2199999997</v>
      </c>
      <c r="E189" s="1">
        <f>5388700-15.78</f>
        <v>5388684.2199999997</v>
      </c>
      <c r="F189" s="1">
        <f>5542600-20.83</f>
        <v>5542579.1699999999</v>
      </c>
    </row>
    <row r="190" spans="1:38" ht="30" customHeight="1">
      <c r="A190" s="52" t="s">
        <v>403</v>
      </c>
      <c r="B190" s="17" t="s">
        <v>7</v>
      </c>
      <c r="C190" s="17" t="s">
        <v>401</v>
      </c>
      <c r="D190" s="1">
        <f>+D191</f>
        <v>28585684.68</v>
      </c>
      <c r="E190" s="1">
        <f t="shared" ref="E190:F190" si="39">+E191</f>
        <v>0</v>
      </c>
      <c r="F190" s="1">
        <f t="shared" si="39"/>
        <v>0</v>
      </c>
    </row>
    <row r="191" spans="1:38" ht="30" customHeight="1">
      <c r="A191" s="52" t="s">
        <v>402</v>
      </c>
      <c r="B191" s="17" t="s">
        <v>357</v>
      </c>
      <c r="C191" s="17" t="s">
        <v>400</v>
      </c>
      <c r="D191" s="1">
        <v>28585684.68</v>
      </c>
      <c r="E191" s="1">
        <v>0</v>
      </c>
      <c r="F191" s="1">
        <v>0</v>
      </c>
    </row>
    <row r="192" spans="1:38" ht="18.600000000000001" customHeight="1">
      <c r="A192" s="52" t="s">
        <v>387</v>
      </c>
      <c r="B192" s="17" t="s">
        <v>7</v>
      </c>
      <c r="C192" s="17" t="s">
        <v>365</v>
      </c>
      <c r="D192" s="1">
        <f>+D193</f>
        <v>4830435.26</v>
      </c>
      <c r="E192" s="1">
        <f t="shared" ref="E192:F192" si="40">+E193</f>
        <v>0</v>
      </c>
      <c r="F192" s="1">
        <f t="shared" si="40"/>
        <v>0</v>
      </c>
    </row>
    <row r="193" spans="1:6" ht="30" customHeight="1">
      <c r="A193" s="52" t="s">
        <v>386</v>
      </c>
      <c r="B193" s="17" t="s">
        <v>260</v>
      </c>
      <c r="C193" s="17" t="s">
        <v>364</v>
      </c>
      <c r="D193" s="1">
        <v>4830435.26</v>
      </c>
      <c r="E193" s="1">
        <v>0</v>
      </c>
      <c r="F193" s="1">
        <v>0</v>
      </c>
    </row>
    <row r="194" spans="1:6" ht="30" customHeight="1">
      <c r="A194" s="34" t="s">
        <v>362</v>
      </c>
      <c r="B194" s="17" t="s">
        <v>7</v>
      </c>
      <c r="C194" s="17" t="s">
        <v>363</v>
      </c>
      <c r="D194" s="1">
        <f>+D195</f>
        <v>44263500.969999999</v>
      </c>
      <c r="E194" s="1">
        <f t="shared" ref="E194:F194" si="41">+E195</f>
        <v>43994800</v>
      </c>
      <c r="F194" s="1">
        <f t="shared" si="41"/>
        <v>0</v>
      </c>
    </row>
    <row r="195" spans="1:6" ht="30" customHeight="1">
      <c r="A195" s="52" t="s">
        <v>360</v>
      </c>
      <c r="B195" s="17" t="s">
        <v>80</v>
      </c>
      <c r="C195" s="17" t="s">
        <v>361</v>
      </c>
      <c r="D195" s="1">
        <v>44263500.969999999</v>
      </c>
      <c r="E195" s="1">
        <v>43994800</v>
      </c>
      <c r="F195" s="1">
        <v>0</v>
      </c>
    </row>
    <row r="196" spans="1:6" ht="24" customHeight="1">
      <c r="A196" s="16" t="s">
        <v>188</v>
      </c>
      <c r="B196" s="17" t="s">
        <v>7</v>
      </c>
      <c r="C196" s="42" t="s">
        <v>229</v>
      </c>
      <c r="D196" s="1">
        <f>+D197</f>
        <v>197659861</v>
      </c>
      <c r="E196" s="1">
        <f>+E197</f>
        <v>84716900</v>
      </c>
      <c r="F196" s="1">
        <f>+F197</f>
        <v>63364800</v>
      </c>
    </row>
    <row r="197" spans="1:6" ht="21.6" customHeight="1">
      <c r="A197" s="16" t="s">
        <v>189</v>
      </c>
      <c r="B197" s="17" t="s">
        <v>7</v>
      </c>
      <c r="C197" s="42" t="s">
        <v>230</v>
      </c>
      <c r="D197" s="1">
        <f>+D200+D207+D204+D201+D208+D209+D202+D199+D203+D198+D205+D206</f>
        <v>197659861</v>
      </c>
      <c r="E197" s="1">
        <f>+E200+E207+E204+E201+E208+E209+E202+E199+E203+E198+E205</f>
        <v>84716900</v>
      </c>
      <c r="F197" s="1">
        <f>+F200+F207+F204+F201+F208+F209+F202+F199+F203+F198+F205</f>
        <v>63364800</v>
      </c>
    </row>
    <row r="198" spans="1:6" ht="48.75" customHeight="1">
      <c r="A198" s="53" t="s">
        <v>453</v>
      </c>
      <c r="B198" s="17" t="s">
        <v>260</v>
      </c>
      <c r="C198" s="42" t="s">
        <v>230</v>
      </c>
      <c r="D198" s="1">
        <f>45072600+2483000</f>
        <v>47555600</v>
      </c>
      <c r="E198" s="1">
        <v>0</v>
      </c>
      <c r="F198" s="1">
        <v>0</v>
      </c>
    </row>
    <row r="199" spans="1:6" ht="42.75" customHeight="1">
      <c r="A199" s="53" t="s">
        <v>454</v>
      </c>
      <c r="B199" s="17" t="s">
        <v>260</v>
      </c>
      <c r="C199" s="42" t="s">
        <v>230</v>
      </c>
      <c r="D199" s="54">
        <v>19200</v>
      </c>
      <c r="E199" s="54">
        <v>28800</v>
      </c>
      <c r="F199" s="54">
        <v>28800</v>
      </c>
    </row>
    <row r="200" spans="1:6" ht="72" customHeight="1">
      <c r="A200" s="34" t="s">
        <v>339</v>
      </c>
      <c r="B200" s="17" t="s">
        <v>146</v>
      </c>
      <c r="C200" s="42" t="s">
        <v>230</v>
      </c>
      <c r="D200" s="1">
        <v>2986600</v>
      </c>
      <c r="E200" s="1">
        <v>2986600</v>
      </c>
      <c r="F200" s="1">
        <v>2986600</v>
      </c>
    </row>
    <row r="201" spans="1:6" ht="67.5" customHeight="1">
      <c r="A201" s="40" t="s">
        <v>388</v>
      </c>
      <c r="B201" s="17" t="s">
        <v>146</v>
      </c>
      <c r="C201" s="42" t="s">
        <v>230</v>
      </c>
      <c r="D201" s="1">
        <v>9611300</v>
      </c>
      <c r="E201" s="1">
        <v>6351200</v>
      </c>
      <c r="F201" s="1">
        <v>6351200</v>
      </c>
    </row>
    <row r="202" spans="1:6" ht="57.75" customHeight="1">
      <c r="A202" s="49" t="s">
        <v>389</v>
      </c>
      <c r="B202" s="17" t="s">
        <v>146</v>
      </c>
      <c r="C202" s="42" t="s">
        <v>230</v>
      </c>
      <c r="D202" s="1">
        <v>4826300</v>
      </c>
      <c r="E202" s="1">
        <v>0</v>
      </c>
      <c r="F202" s="1">
        <v>0</v>
      </c>
    </row>
    <row r="203" spans="1:6" ht="69" customHeight="1">
      <c r="A203" s="49" t="s">
        <v>390</v>
      </c>
      <c r="B203" s="17" t="s">
        <v>146</v>
      </c>
      <c r="C203" s="42" t="s">
        <v>230</v>
      </c>
      <c r="D203" s="1">
        <v>6166049</v>
      </c>
      <c r="E203" s="1">
        <v>0</v>
      </c>
      <c r="F203" s="1">
        <v>0</v>
      </c>
    </row>
    <row r="204" spans="1:6" ht="118.5" customHeight="1">
      <c r="A204" s="55" t="s">
        <v>340</v>
      </c>
      <c r="B204" s="17" t="s">
        <v>147</v>
      </c>
      <c r="C204" s="42" t="s">
        <v>230</v>
      </c>
      <c r="D204" s="1">
        <f>36300800+73332600</f>
        <v>109633400</v>
      </c>
      <c r="E204" s="1">
        <f>802500+56602600</f>
        <v>57405100</v>
      </c>
      <c r="F204" s="1">
        <f>1198800+37799400</f>
        <v>38998200</v>
      </c>
    </row>
    <row r="205" spans="1:6" ht="81.599999999999994" customHeight="1">
      <c r="A205" s="55" t="s">
        <v>481</v>
      </c>
      <c r="B205" s="17" t="s">
        <v>357</v>
      </c>
      <c r="C205" s="42" t="s">
        <v>230</v>
      </c>
      <c r="D205" s="1">
        <v>463837</v>
      </c>
      <c r="E205" s="1">
        <v>0</v>
      </c>
      <c r="F205" s="1">
        <v>0</v>
      </c>
    </row>
    <row r="206" spans="1:6" ht="40.9" customHeight="1">
      <c r="A206" s="55" t="s">
        <v>480</v>
      </c>
      <c r="B206" s="17" t="s">
        <v>357</v>
      </c>
      <c r="C206" s="42" t="s">
        <v>230</v>
      </c>
      <c r="D206" s="1">
        <v>253575</v>
      </c>
      <c r="E206" s="1">
        <v>0</v>
      </c>
      <c r="F206" s="1">
        <v>0</v>
      </c>
    </row>
    <row r="207" spans="1:6" ht="43.5" customHeight="1">
      <c r="A207" s="34" t="s">
        <v>342</v>
      </c>
      <c r="B207" s="17" t="s">
        <v>148</v>
      </c>
      <c r="C207" s="42" t="s">
        <v>230</v>
      </c>
      <c r="D207" s="1">
        <v>15000000</v>
      </c>
      <c r="E207" s="1">
        <v>15000000</v>
      </c>
      <c r="F207" s="1">
        <v>15000000</v>
      </c>
    </row>
    <row r="208" spans="1:6" ht="67.5" customHeight="1">
      <c r="A208" s="56" t="s">
        <v>391</v>
      </c>
      <c r="B208" s="17" t="s">
        <v>80</v>
      </c>
      <c r="C208" s="42" t="s">
        <v>230</v>
      </c>
      <c r="D208" s="1">
        <v>1144000</v>
      </c>
      <c r="E208" s="1">
        <v>0</v>
      </c>
      <c r="F208" s="1">
        <v>0</v>
      </c>
    </row>
    <row r="209" spans="1:38" ht="81" customHeight="1">
      <c r="A209" s="49" t="s">
        <v>341</v>
      </c>
      <c r="B209" s="17" t="s">
        <v>80</v>
      </c>
      <c r="C209" s="42" t="s">
        <v>230</v>
      </c>
      <c r="D209" s="1">
        <v>0</v>
      </c>
      <c r="E209" s="54">
        <v>2945200</v>
      </c>
      <c r="F209" s="1">
        <v>0</v>
      </c>
    </row>
    <row r="210" spans="1:38" ht="20.45" customHeight="1">
      <c r="A210" s="16" t="s">
        <v>190</v>
      </c>
      <c r="B210" s="17" t="s">
        <v>7</v>
      </c>
      <c r="C210" s="19" t="s">
        <v>231</v>
      </c>
      <c r="D210" s="1">
        <f>+D211+D213+D233+D229+D231</f>
        <v>1518081200</v>
      </c>
      <c r="E210" s="1">
        <f t="shared" ref="E210:F210" si="42">+E211+E213+E233+E229+E231</f>
        <v>1464099100</v>
      </c>
      <c r="F210" s="1">
        <f t="shared" si="42"/>
        <v>1464200400</v>
      </c>
    </row>
    <row r="211" spans="1:38" s="57" customFormat="1" ht="42.75" customHeight="1">
      <c r="A211" s="16" t="s">
        <v>191</v>
      </c>
      <c r="B211" s="17" t="s">
        <v>7</v>
      </c>
      <c r="C211" s="19" t="s">
        <v>232</v>
      </c>
      <c r="D211" s="1">
        <f>+D212</f>
        <v>61714100</v>
      </c>
      <c r="E211" s="1">
        <f>+E212</f>
        <v>59958600</v>
      </c>
      <c r="F211" s="1">
        <f>+F212</f>
        <v>59958600</v>
      </c>
      <c r="U211" s="58"/>
      <c r="V211" s="58"/>
      <c r="W211" s="59"/>
      <c r="AD211" s="60"/>
      <c r="AE211" s="60"/>
      <c r="AF211" s="60"/>
      <c r="AG211" s="60"/>
      <c r="AH211" s="60"/>
      <c r="AI211" s="60"/>
      <c r="AJ211" s="58"/>
      <c r="AK211" s="58"/>
      <c r="AL211" s="58"/>
    </row>
    <row r="212" spans="1:38" s="57" customFormat="1" ht="42" customHeight="1">
      <c r="A212" s="16" t="s">
        <v>192</v>
      </c>
      <c r="B212" s="17" t="s">
        <v>80</v>
      </c>
      <c r="C212" s="19" t="s">
        <v>233</v>
      </c>
      <c r="D212" s="54">
        <f>59958600+855500+900000</f>
        <v>61714100</v>
      </c>
      <c r="E212" s="54">
        <v>59958600</v>
      </c>
      <c r="F212" s="54">
        <v>59958600</v>
      </c>
      <c r="U212" s="58"/>
      <c r="V212" s="58"/>
      <c r="W212" s="59"/>
      <c r="AD212" s="60"/>
      <c r="AE212" s="60"/>
      <c r="AF212" s="60"/>
      <c r="AG212" s="60"/>
      <c r="AH212" s="60"/>
      <c r="AI212" s="60"/>
      <c r="AJ212" s="58"/>
      <c r="AK212" s="58"/>
      <c r="AL212" s="58"/>
    </row>
    <row r="213" spans="1:38" ht="30.75" customHeight="1">
      <c r="A213" s="16" t="s">
        <v>193</v>
      </c>
      <c r="B213" s="17" t="s">
        <v>7</v>
      </c>
      <c r="C213" s="17" t="s">
        <v>234</v>
      </c>
      <c r="D213" s="1">
        <f>+D214</f>
        <v>40098100</v>
      </c>
      <c r="E213" s="1">
        <f>+E214</f>
        <v>35043700</v>
      </c>
      <c r="F213" s="1">
        <f>+F214</f>
        <v>35043700</v>
      </c>
    </row>
    <row r="214" spans="1:38" s="57" customFormat="1" ht="34.5" customHeight="1">
      <c r="A214" s="16" t="s">
        <v>194</v>
      </c>
      <c r="B214" s="17" t="s">
        <v>7</v>
      </c>
      <c r="C214" s="17" t="s">
        <v>235</v>
      </c>
      <c r="D214" s="1">
        <f>SUM(D215:D228)</f>
        <v>40098100</v>
      </c>
      <c r="E214" s="1">
        <f>SUM(E215:E228)</f>
        <v>35043700</v>
      </c>
      <c r="F214" s="1">
        <f>SUM(F215:F228)</f>
        <v>35043700</v>
      </c>
      <c r="U214" s="58"/>
      <c r="V214" s="58"/>
      <c r="W214" s="59"/>
      <c r="AD214" s="60"/>
      <c r="AE214" s="60"/>
      <c r="AF214" s="60"/>
      <c r="AG214" s="60"/>
      <c r="AH214" s="60"/>
      <c r="AI214" s="60"/>
      <c r="AJ214" s="58"/>
      <c r="AK214" s="58"/>
      <c r="AL214" s="58"/>
    </row>
    <row r="215" spans="1:38" ht="42.75" customHeight="1">
      <c r="A215" s="16" t="s">
        <v>398</v>
      </c>
      <c r="B215" s="17" t="s">
        <v>146</v>
      </c>
      <c r="C215" s="17" t="s">
        <v>235</v>
      </c>
      <c r="D215" s="54">
        <v>25089500</v>
      </c>
      <c r="E215" s="54">
        <v>25089500</v>
      </c>
      <c r="F215" s="54">
        <v>25089500</v>
      </c>
    </row>
    <row r="216" spans="1:38" ht="79.5" customHeight="1">
      <c r="A216" s="61" t="s">
        <v>437</v>
      </c>
      <c r="B216" s="17" t="s">
        <v>146</v>
      </c>
      <c r="C216" s="17" t="s">
        <v>235</v>
      </c>
      <c r="D216" s="54">
        <v>12200</v>
      </c>
      <c r="E216" s="54">
        <v>0</v>
      </c>
      <c r="F216" s="54">
        <v>0</v>
      </c>
    </row>
    <row r="217" spans="1:38" ht="32.25" customHeight="1">
      <c r="A217" s="62" t="s">
        <v>392</v>
      </c>
      <c r="B217" s="17" t="s">
        <v>146</v>
      </c>
      <c r="C217" s="17" t="s">
        <v>235</v>
      </c>
      <c r="D217" s="54">
        <v>3021900</v>
      </c>
      <c r="E217" s="54">
        <v>0</v>
      </c>
      <c r="F217" s="54">
        <v>0</v>
      </c>
    </row>
    <row r="218" spans="1:38" s="57" customFormat="1" ht="45.75" customHeight="1">
      <c r="A218" s="16" t="s">
        <v>393</v>
      </c>
      <c r="B218" s="17" t="s">
        <v>147</v>
      </c>
      <c r="C218" s="17" t="s">
        <v>235</v>
      </c>
      <c r="D218" s="1">
        <v>20690</v>
      </c>
      <c r="E218" s="1">
        <v>0</v>
      </c>
      <c r="F218" s="1">
        <v>0</v>
      </c>
      <c r="U218" s="58"/>
      <c r="V218" s="58"/>
      <c r="W218" s="59"/>
      <c r="AD218" s="60"/>
      <c r="AE218" s="60"/>
      <c r="AF218" s="60"/>
      <c r="AG218" s="60"/>
      <c r="AH218" s="60"/>
      <c r="AI218" s="60"/>
      <c r="AJ218" s="58"/>
      <c r="AK218" s="58"/>
      <c r="AL218" s="58"/>
    </row>
    <row r="219" spans="1:38" s="57" customFormat="1" ht="32.25" customHeight="1">
      <c r="A219" s="16" t="s">
        <v>195</v>
      </c>
      <c r="B219" s="17" t="s">
        <v>147</v>
      </c>
      <c r="C219" s="17" t="s">
        <v>235</v>
      </c>
      <c r="D219" s="54">
        <v>61995</v>
      </c>
      <c r="E219" s="54">
        <v>0</v>
      </c>
      <c r="F219" s="54">
        <v>0</v>
      </c>
      <c r="U219" s="58"/>
      <c r="V219" s="58"/>
      <c r="W219" s="59"/>
      <c r="AD219" s="60"/>
      <c r="AE219" s="60"/>
      <c r="AF219" s="60"/>
      <c r="AG219" s="60"/>
      <c r="AH219" s="60"/>
      <c r="AI219" s="60"/>
      <c r="AJ219" s="58"/>
      <c r="AK219" s="58"/>
      <c r="AL219" s="58"/>
    </row>
    <row r="220" spans="1:38" s="57" customFormat="1" ht="41.25" customHeight="1">
      <c r="A220" s="16" t="s">
        <v>393</v>
      </c>
      <c r="B220" s="17" t="s">
        <v>148</v>
      </c>
      <c r="C220" s="17" t="s">
        <v>235</v>
      </c>
      <c r="D220" s="1">
        <v>25210</v>
      </c>
      <c r="E220" s="1">
        <v>45900</v>
      </c>
      <c r="F220" s="1">
        <v>45900</v>
      </c>
      <c r="U220" s="58"/>
      <c r="V220" s="58"/>
      <c r="W220" s="59"/>
      <c r="AD220" s="60"/>
      <c r="AE220" s="60"/>
      <c r="AF220" s="60"/>
      <c r="AG220" s="60"/>
      <c r="AH220" s="60"/>
      <c r="AI220" s="60"/>
      <c r="AJ220" s="58"/>
      <c r="AK220" s="58"/>
      <c r="AL220" s="58"/>
    </row>
    <row r="221" spans="1:38" s="57" customFormat="1" ht="32.450000000000003" customHeight="1">
      <c r="A221" s="16" t="s">
        <v>195</v>
      </c>
      <c r="B221" s="17" t="s">
        <v>148</v>
      </c>
      <c r="C221" s="17" t="s">
        <v>235</v>
      </c>
      <c r="D221" s="54">
        <v>75705</v>
      </c>
      <c r="E221" s="54">
        <v>137700</v>
      </c>
      <c r="F221" s="54">
        <v>137700</v>
      </c>
      <c r="U221" s="58"/>
      <c r="V221" s="58"/>
      <c r="W221" s="59"/>
      <c r="AD221" s="60"/>
      <c r="AE221" s="60"/>
      <c r="AF221" s="60"/>
      <c r="AG221" s="60"/>
      <c r="AH221" s="60"/>
      <c r="AI221" s="60"/>
      <c r="AJ221" s="58"/>
      <c r="AK221" s="58"/>
      <c r="AL221" s="58"/>
    </row>
    <row r="222" spans="1:38" ht="56.25" customHeight="1">
      <c r="A222" s="16" t="s">
        <v>487</v>
      </c>
      <c r="B222" s="17" t="s">
        <v>148</v>
      </c>
      <c r="C222" s="17" t="s">
        <v>235</v>
      </c>
      <c r="D222" s="54">
        <f>3303900+404000</f>
        <v>3707900</v>
      </c>
      <c r="E222" s="54">
        <v>3303900</v>
      </c>
      <c r="F222" s="54">
        <v>3303900</v>
      </c>
    </row>
    <row r="223" spans="1:38" s="57" customFormat="1" ht="30" customHeight="1">
      <c r="A223" s="16" t="s">
        <v>472</v>
      </c>
      <c r="B223" s="17" t="s">
        <v>148</v>
      </c>
      <c r="C223" s="17" t="s">
        <v>235</v>
      </c>
      <c r="D223" s="54">
        <f>859500+148200</f>
        <v>1007700</v>
      </c>
      <c r="E223" s="54">
        <v>859500</v>
      </c>
      <c r="F223" s="54">
        <v>859500</v>
      </c>
      <c r="U223" s="58"/>
      <c r="V223" s="58"/>
      <c r="W223" s="59"/>
      <c r="AD223" s="60"/>
      <c r="AE223" s="60"/>
      <c r="AF223" s="60"/>
      <c r="AG223" s="60"/>
      <c r="AH223" s="60"/>
      <c r="AI223" s="60"/>
      <c r="AJ223" s="58"/>
      <c r="AK223" s="58"/>
      <c r="AL223" s="58"/>
    </row>
    <row r="224" spans="1:38" ht="57.75" customHeight="1">
      <c r="A224" s="16" t="s">
        <v>399</v>
      </c>
      <c r="B224" s="17" t="s">
        <v>148</v>
      </c>
      <c r="C224" s="17" t="s">
        <v>235</v>
      </c>
      <c r="D224" s="54">
        <f>2597400+448100</f>
        <v>3045500</v>
      </c>
      <c r="E224" s="54">
        <v>2597400</v>
      </c>
      <c r="F224" s="54">
        <v>2597400</v>
      </c>
    </row>
    <row r="225" spans="1:38" s="57" customFormat="1" ht="73.5" customHeight="1">
      <c r="A225" s="16" t="s">
        <v>196</v>
      </c>
      <c r="B225" s="17" t="s">
        <v>148</v>
      </c>
      <c r="C225" s="17" t="s">
        <v>235</v>
      </c>
      <c r="D225" s="63">
        <v>700</v>
      </c>
      <c r="E225" s="63">
        <v>700</v>
      </c>
      <c r="F225" s="63">
        <v>700</v>
      </c>
      <c r="U225" s="58"/>
      <c r="V225" s="58"/>
      <c r="W225" s="59"/>
      <c r="AD225" s="60"/>
      <c r="AE225" s="60"/>
      <c r="AF225" s="60"/>
      <c r="AG225" s="60"/>
      <c r="AH225" s="60"/>
      <c r="AI225" s="60"/>
      <c r="AJ225" s="58"/>
      <c r="AK225" s="58"/>
      <c r="AL225" s="58"/>
    </row>
    <row r="226" spans="1:38" ht="43.15" customHeight="1">
      <c r="A226" s="16" t="s">
        <v>395</v>
      </c>
      <c r="B226" s="17" t="s">
        <v>148</v>
      </c>
      <c r="C226" s="17" t="s">
        <v>235</v>
      </c>
      <c r="D226" s="54">
        <f>1719000+296600</f>
        <v>2015600</v>
      </c>
      <c r="E226" s="54">
        <v>1719000</v>
      </c>
      <c r="F226" s="54">
        <v>1719000</v>
      </c>
    </row>
    <row r="227" spans="1:38" ht="30" customHeight="1">
      <c r="A227" s="16" t="s">
        <v>396</v>
      </c>
      <c r="B227" s="17" t="s">
        <v>148</v>
      </c>
      <c r="C227" s="17" t="s">
        <v>235</v>
      </c>
      <c r="D227" s="54">
        <f>4900+700</f>
        <v>5600</v>
      </c>
      <c r="E227" s="54">
        <v>4900</v>
      </c>
      <c r="F227" s="54">
        <v>4900</v>
      </c>
    </row>
    <row r="228" spans="1:38" ht="53.25" customHeight="1">
      <c r="A228" s="112" t="s">
        <v>394</v>
      </c>
      <c r="B228" s="17" t="s">
        <v>80</v>
      </c>
      <c r="C228" s="17" t="s">
        <v>235</v>
      </c>
      <c r="D228" s="54">
        <f>705200+580000+722700</f>
        <v>2007900</v>
      </c>
      <c r="E228" s="54">
        <f>705200+580000</f>
        <v>1285200</v>
      </c>
      <c r="F228" s="54">
        <f>705200+580000</f>
        <v>1285200</v>
      </c>
    </row>
    <row r="229" spans="1:38" ht="47.45" customHeight="1">
      <c r="A229" s="16" t="s">
        <v>197</v>
      </c>
      <c r="B229" s="17" t="s">
        <v>7</v>
      </c>
      <c r="C229" s="45" t="s">
        <v>236</v>
      </c>
      <c r="D229" s="54">
        <f>+D230</f>
        <v>11200</v>
      </c>
      <c r="E229" s="54">
        <f>+E230</f>
        <v>12100</v>
      </c>
      <c r="F229" s="54">
        <f>+F230</f>
        <v>113400</v>
      </c>
    </row>
    <row r="230" spans="1:38" ht="54.75" customHeight="1">
      <c r="A230" s="16" t="s">
        <v>198</v>
      </c>
      <c r="B230" s="17" t="s">
        <v>148</v>
      </c>
      <c r="C230" s="45" t="s">
        <v>319</v>
      </c>
      <c r="D230" s="54">
        <v>11200</v>
      </c>
      <c r="E230" s="54">
        <v>12100</v>
      </c>
      <c r="F230" s="54">
        <v>113400</v>
      </c>
    </row>
    <row r="231" spans="1:38" ht="30" customHeight="1">
      <c r="A231" s="16" t="s">
        <v>320</v>
      </c>
      <c r="B231" s="17" t="s">
        <v>7</v>
      </c>
      <c r="C231" s="45" t="s">
        <v>317</v>
      </c>
      <c r="D231" s="54">
        <f>D232</f>
        <v>1278900</v>
      </c>
      <c r="E231" s="54">
        <f>E232</f>
        <v>0</v>
      </c>
      <c r="F231" s="54">
        <f>F232</f>
        <v>0</v>
      </c>
    </row>
    <row r="232" spans="1:38" ht="30" customHeight="1">
      <c r="A232" s="16" t="s">
        <v>321</v>
      </c>
      <c r="B232" s="17" t="s">
        <v>148</v>
      </c>
      <c r="C232" s="45" t="s">
        <v>316</v>
      </c>
      <c r="D232" s="54">
        <v>1278900</v>
      </c>
      <c r="E232" s="54">
        <v>0</v>
      </c>
      <c r="F232" s="54">
        <v>0</v>
      </c>
    </row>
    <row r="233" spans="1:38" ht="18.75" customHeight="1">
      <c r="A233" s="16" t="s">
        <v>199</v>
      </c>
      <c r="B233" s="17" t="s">
        <v>7</v>
      </c>
      <c r="C233" s="19" t="s">
        <v>237</v>
      </c>
      <c r="D233" s="1">
        <f>+D234</f>
        <v>1414978900</v>
      </c>
      <c r="E233" s="1">
        <f>+E234</f>
        <v>1369084700</v>
      </c>
      <c r="F233" s="1">
        <f>+F234</f>
        <v>1369084700</v>
      </c>
    </row>
    <row r="234" spans="1:38" ht="18.75" customHeight="1">
      <c r="A234" s="16" t="s">
        <v>200</v>
      </c>
      <c r="B234" s="17" t="s">
        <v>7</v>
      </c>
      <c r="C234" s="19" t="s">
        <v>238</v>
      </c>
      <c r="D234" s="1">
        <f>+D235+D236</f>
        <v>1414978900</v>
      </c>
      <c r="E234" s="1">
        <f>+E235+E236</f>
        <v>1369084700</v>
      </c>
      <c r="F234" s="1">
        <f>+F235+F236</f>
        <v>1369084700</v>
      </c>
    </row>
    <row r="235" spans="1:38" ht="81" customHeight="1">
      <c r="A235" s="16" t="s">
        <v>397</v>
      </c>
      <c r="B235" s="17" t="s">
        <v>146</v>
      </c>
      <c r="C235" s="19" t="s">
        <v>258</v>
      </c>
      <c r="D235" s="64">
        <f>13385600+656480900</f>
        <v>669866500</v>
      </c>
      <c r="E235" s="64">
        <v>656480900</v>
      </c>
      <c r="F235" s="64">
        <v>656480900</v>
      </c>
    </row>
    <row r="236" spans="1:38" ht="55.5" customHeight="1">
      <c r="A236" s="16" t="s">
        <v>201</v>
      </c>
      <c r="B236" s="17" t="s">
        <v>146</v>
      </c>
      <c r="C236" s="19" t="s">
        <v>238</v>
      </c>
      <c r="D236" s="64">
        <f>32508600+712603800</f>
        <v>745112400</v>
      </c>
      <c r="E236" s="64">
        <v>712603800</v>
      </c>
      <c r="F236" s="64">
        <v>712603800</v>
      </c>
    </row>
    <row r="237" spans="1:38" ht="19.899999999999999" customHeight="1">
      <c r="A237" s="16" t="s">
        <v>366</v>
      </c>
      <c r="B237" s="17" t="s">
        <v>7</v>
      </c>
      <c r="C237" s="19" t="s">
        <v>367</v>
      </c>
      <c r="D237" s="64">
        <f>+D240+D242+D238</f>
        <v>21420700</v>
      </c>
      <c r="E237" s="64">
        <f t="shared" ref="E237:F237" si="43">+E240+E242+E238</f>
        <v>0</v>
      </c>
      <c r="F237" s="64">
        <f t="shared" si="43"/>
        <v>0</v>
      </c>
    </row>
    <row r="238" spans="1:38" ht="53.25" customHeight="1">
      <c r="A238" s="16" t="s">
        <v>495</v>
      </c>
      <c r="B238" s="17" t="s">
        <v>7</v>
      </c>
      <c r="C238" s="19" t="s">
        <v>496</v>
      </c>
      <c r="D238" s="64">
        <f>+D239</f>
        <v>18420700</v>
      </c>
      <c r="E238" s="64">
        <f t="shared" ref="E238:F238" si="44">+E239</f>
        <v>0</v>
      </c>
      <c r="F238" s="64">
        <f t="shared" si="44"/>
        <v>0</v>
      </c>
    </row>
    <row r="239" spans="1:38" ht="51" customHeight="1">
      <c r="A239" s="117" t="s">
        <v>493</v>
      </c>
      <c r="B239" s="17" t="s">
        <v>146</v>
      </c>
      <c r="C239" s="12" t="s">
        <v>494</v>
      </c>
      <c r="D239" s="64">
        <v>18420700</v>
      </c>
      <c r="E239" s="64">
        <v>0</v>
      </c>
      <c r="F239" s="64">
        <v>0</v>
      </c>
    </row>
    <row r="240" spans="1:38" ht="30" customHeight="1">
      <c r="A240" s="16" t="s">
        <v>368</v>
      </c>
      <c r="B240" s="17" t="s">
        <v>7</v>
      </c>
      <c r="C240" s="19" t="s">
        <v>369</v>
      </c>
      <c r="D240" s="64">
        <f>+D241</f>
        <v>1000000</v>
      </c>
      <c r="E240" s="64">
        <f t="shared" ref="E240:F240" si="45">+E241</f>
        <v>0</v>
      </c>
      <c r="F240" s="64">
        <f t="shared" si="45"/>
        <v>0</v>
      </c>
    </row>
    <row r="241" spans="1:6" ht="30" customHeight="1">
      <c r="A241" s="16" t="s">
        <v>370</v>
      </c>
      <c r="B241" s="17" t="s">
        <v>260</v>
      </c>
      <c r="C241" s="19" t="s">
        <v>371</v>
      </c>
      <c r="D241" s="64">
        <v>1000000</v>
      </c>
      <c r="E241" s="64">
        <v>0</v>
      </c>
      <c r="F241" s="64">
        <v>0</v>
      </c>
    </row>
    <row r="242" spans="1:6" ht="19.899999999999999" customHeight="1">
      <c r="A242" s="16" t="s">
        <v>458</v>
      </c>
      <c r="B242" s="17" t="s">
        <v>7</v>
      </c>
      <c r="C242" s="19" t="s">
        <v>457</v>
      </c>
      <c r="D242" s="64">
        <f>+D243</f>
        <v>2000000</v>
      </c>
      <c r="E242" s="64">
        <f>+E243</f>
        <v>0</v>
      </c>
      <c r="F242" s="64">
        <f>+F243</f>
        <v>0</v>
      </c>
    </row>
    <row r="243" spans="1:6" ht="30" customHeight="1">
      <c r="A243" s="16" t="s">
        <v>456</v>
      </c>
      <c r="B243" s="17" t="s">
        <v>80</v>
      </c>
      <c r="C243" s="19" t="s">
        <v>455</v>
      </c>
      <c r="D243" s="64">
        <v>2000000</v>
      </c>
      <c r="E243" s="64">
        <v>0</v>
      </c>
      <c r="F243" s="64">
        <v>0</v>
      </c>
    </row>
    <row r="244" spans="1:6" ht="19.899999999999999" customHeight="1">
      <c r="A244" s="34" t="s">
        <v>202</v>
      </c>
      <c r="B244" s="17" t="s">
        <v>7</v>
      </c>
      <c r="C244" s="35" t="s">
        <v>244</v>
      </c>
      <c r="D244" s="65">
        <f t="shared" ref="D244:F245" si="46">+D245</f>
        <v>2961520</v>
      </c>
      <c r="E244" s="65">
        <f t="shared" si="46"/>
        <v>0</v>
      </c>
      <c r="F244" s="65">
        <f t="shared" si="46"/>
        <v>0</v>
      </c>
    </row>
    <row r="245" spans="1:6" ht="18.600000000000001" customHeight="1">
      <c r="A245" s="34" t="s">
        <v>246</v>
      </c>
      <c r="B245" s="17" t="s">
        <v>7</v>
      </c>
      <c r="C245" s="35" t="s">
        <v>245</v>
      </c>
      <c r="D245" s="65">
        <f t="shared" si="46"/>
        <v>2961520</v>
      </c>
      <c r="E245" s="65">
        <f t="shared" si="46"/>
        <v>0</v>
      </c>
      <c r="F245" s="65">
        <f t="shared" si="46"/>
        <v>0</v>
      </c>
    </row>
    <row r="246" spans="1:6" ht="23.25" customHeight="1">
      <c r="A246" s="34" t="s">
        <v>203</v>
      </c>
      <c r="B246" s="17" t="s">
        <v>148</v>
      </c>
      <c r="C246" s="42" t="s">
        <v>239</v>
      </c>
      <c r="D246" s="65">
        <f>3015000+49490-3000000+1391530+5500+1500000</f>
        <v>2961520</v>
      </c>
      <c r="E246" s="64">
        <v>0</v>
      </c>
      <c r="F246" s="64">
        <v>0</v>
      </c>
    </row>
    <row r="247" spans="1:6" ht="48.75" customHeight="1">
      <c r="A247" s="56" t="s">
        <v>405</v>
      </c>
      <c r="B247" s="17" t="s">
        <v>7</v>
      </c>
      <c r="C247" s="66" t="s">
        <v>343</v>
      </c>
      <c r="D247" s="65">
        <f>+D248</f>
        <v>354197.79000000004</v>
      </c>
      <c r="E247" s="65">
        <f t="shared" ref="E247:F247" si="47">+E248</f>
        <v>329924.14</v>
      </c>
      <c r="F247" s="65">
        <f t="shared" si="47"/>
        <v>0</v>
      </c>
    </row>
    <row r="248" spans="1:6" ht="69.75" customHeight="1">
      <c r="A248" s="56" t="s">
        <v>344</v>
      </c>
      <c r="B248" s="17" t="s">
        <v>7</v>
      </c>
      <c r="C248" s="66" t="s">
        <v>345</v>
      </c>
      <c r="D248" s="65">
        <f>+D249</f>
        <v>354197.79000000004</v>
      </c>
      <c r="E248" s="65">
        <f>+E250</f>
        <v>329924.14</v>
      </c>
      <c r="F248" s="65">
        <f>+F250</f>
        <v>0</v>
      </c>
    </row>
    <row r="249" spans="1:6" ht="72" customHeight="1">
      <c r="A249" s="56" t="s">
        <v>346</v>
      </c>
      <c r="B249" s="17" t="s">
        <v>7</v>
      </c>
      <c r="C249" s="66" t="s">
        <v>347</v>
      </c>
      <c r="D249" s="65">
        <f>+D250</f>
        <v>354197.79000000004</v>
      </c>
      <c r="E249" s="65">
        <v>0</v>
      </c>
      <c r="F249" s="65">
        <v>0</v>
      </c>
    </row>
    <row r="250" spans="1:6" ht="30" customHeight="1">
      <c r="A250" s="56" t="s">
        <v>404</v>
      </c>
      <c r="B250" s="17" t="s">
        <v>7</v>
      </c>
      <c r="C250" s="67" t="s">
        <v>348</v>
      </c>
      <c r="D250" s="65">
        <f>+D251+D252</f>
        <v>354197.79000000004</v>
      </c>
      <c r="E250" s="65">
        <f t="shared" ref="E250:F250" si="48">+E251</f>
        <v>329924.14</v>
      </c>
      <c r="F250" s="65">
        <f t="shared" si="48"/>
        <v>0</v>
      </c>
    </row>
    <row r="251" spans="1:6" ht="30" customHeight="1">
      <c r="A251" s="56" t="s">
        <v>349</v>
      </c>
      <c r="B251" s="17" t="s">
        <v>148</v>
      </c>
      <c r="C251" s="66" t="s">
        <v>350</v>
      </c>
      <c r="D251" s="1">
        <f>44620+167909+20999.77+35000+60038.05</f>
        <v>328566.82</v>
      </c>
      <c r="E251" s="1">
        <v>329924.14</v>
      </c>
      <c r="F251" s="1">
        <v>0</v>
      </c>
    </row>
    <row r="252" spans="1:6" ht="28.5" customHeight="1">
      <c r="A252" s="56" t="s">
        <v>349</v>
      </c>
      <c r="B252" s="17" t="s">
        <v>80</v>
      </c>
      <c r="C252" s="66" t="s">
        <v>350</v>
      </c>
      <c r="D252" s="1">
        <f>23701+0.23+1929.74</f>
        <v>25630.97</v>
      </c>
      <c r="E252" s="1">
        <v>25630.97</v>
      </c>
      <c r="F252" s="1">
        <v>0</v>
      </c>
    </row>
    <row r="253" spans="1:6" ht="36.75" customHeight="1">
      <c r="A253" s="56" t="s">
        <v>351</v>
      </c>
      <c r="B253" s="17" t="s">
        <v>7</v>
      </c>
      <c r="C253" s="66" t="s">
        <v>352</v>
      </c>
      <c r="D253" s="65">
        <f>+D254</f>
        <v>-3719856.0999999996</v>
      </c>
      <c r="E253" s="65">
        <f t="shared" ref="E253:F253" si="49">+E254</f>
        <v>0</v>
      </c>
      <c r="F253" s="65">
        <f t="shared" si="49"/>
        <v>0</v>
      </c>
    </row>
    <row r="254" spans="1:6" ht="43.5" customHeight="1">
      <c r="A254" s="56" t="s">
        <v>407</v>
      </c>
      <c r="B254" s="17" t="s">
        <v>7</v>
      </c>
      <c r="C254" s="66" t="s">
        <v>406</v>
      </c>
      <c r="D254" s="65">
        <f>+D255+D256+D257+D258+D259+D260+D261</f>
        <v>-3719856.0999999996</v>
      </c>
      <c r="E254" s="65">
        <f t="shared" ref="E254:F254" si="50">+E255+E256+E257+E258+E259+E260+E261</f>
        <v>0</v>
      </c>
      <c r="F254" s="65">
        <f t="shared" si="50"/>
        <v>0</v>
      </c>
    </row>
    <row r="255" spans="1:6" ht="45.75" customHeight="1">
      <c r="A255" s="68" t="s">
        <v>353</v>
      </c>
      <c r="B255" s="17" t="s">
        <v>148</v>
      </c>
      <c r="C255" s="69" t="s">
        <v>354</v>
      </c>
      <c r="D255" s="1">
        <f>-12583.17-44620-167909-20999.77-35000-60038.05</f>
        <v>-341149.98999999993</v>
      </c>
      <c r="E255" s="64">
        <v>0</v>
      </c>
      <c r="F255" s="64">
        <v>0</v>
      </c>
    </row>
    <row r="256" spans="1:6" ht="42" customHeight="1">
      <c r="A256" s="70" t="s">
        <v>358</v>
      </c>
      <c r="B256" s="17" t="s">
        <v>357</v>
      </c>
      <c r="C256" s="69" t="s">
        <v>359</v>
      </c>
      <c r="D256" s="1">
        <f>-399301.34-535210.33</f>
        <v>-934511.66999999993</v>
      </c>
      <c r="E256" s="64">
        <v>0</v>
      </c>
      <c r="F256" s="64">
        <v>0</v>
      </c>
    </row>
    <row r="257" spans="1:42" ht="41.25" customHeight="1">
      <c r="A257" s="70" t="s">
        <v>355</v>
      </c>
      <c r="B257" s="17" t="s">
        <v>260</v>
      </c>
      <c r="C257" s="69" t="s">
        <v>356</v>
      </c>
      <c r="D257" s="1">
        <v>-1014393.91</v>
      </c>
      <c r="E257" s="64">
        <v>0</v>
      </c>
      <c r="F257" s="64">
        <v>0</v>
      </c>
    </row>
    <row r="258" spans="1:42" ht="40.5" customHeight="1">
      <c r="A258" s="70" t="s">
        <v>355</v>
      </c>
      <c r="B258" s="17" t="s">
        <v>146</v>
      </c>
      <c r="C258" s="69" t="s">
        <v>356</v>
      </c>
      <c r="D258" s="1">
        <v>-2063.58</v>
      </c>
      <c r="E258" s="64">
        <v>0</v>
      </c>
      <c r="F258" s="64">
        <v>0</v>
      </c>
    </row>
    <row r="259" spans="1:42" ht="39.75" customHeight="1">
      <c r="A259" s="70" t="s">
        <v>355</v>
      </c>
      <c r="B259" s="17" t="s">
        <v>147</v>
      </c>
      <c r="C259" s="69" t="s">
        <v>356</v>
      </c>
      <c r="D259" s="1">
        <f>-1.01-0.01</f>
        <v>-1.02</v>
      </c>
      <c r="E259" s="64">
        <v>0</v>
      </c>
      <c r="F259" s="64">
        <v>0</v>
      </c>
    </row>
    <row r="260" spans="1:42" ht="42.6" customHeight="1">
      <c r="A260" s="70" t="s">
        <v>355</v>
      </c>
      <c r="B260" s="17" t="s">
        <v>148</v>
      </c>
      <c r="C260" s="69" t="s">
        <v>356</v>
      </c>
      <c r="D260" s="1">
        <f>-3075-0.03-153.91-59.36</f>
        <v>-3288.3</v>
      </c>
      <c r="E260" s="64">
        <v>0</v>
      </c>
      <c r="F260" s="64">
        <v>0</v>
      </c>
    </row>
    <row r="261" spans="1:42" ht="37.5" customHeight="1">
      <c r="A261" s="70" t="s">
        <v>355</v>
      </c>
      <c r="B261" s="17" t="s">
        <v>80</v>
      </c>
      <c r="C261" s="69" t="s">
        <v>356</v>
      </c>
      <c r="D261" s="1">
        <f>-300-1382054.83-16461.83-23701-0.23-1929.74</f>
        <v>-1424447.6300000001</v>
      </c>
      <c r="E261" s="64">
        <v>0</v>
      </c>
      <c r="F261" s="64">
        <v>0</v>
      </c>
    </row>
    <row r="262" spans="1:42" s="71" customFormat="1" ht="21" customHeight="1">
      <c r="A262" s="16" t="s">
        <v>204</v>
      </c>
      <c r="B262" s="17"/>
      <c r="C262" s="19"/>
      <c r="D262" s="1">
        <f>+D10+D174</f>
        <v>2889278493.3200002</v>
      </c>
      <c r="E262" s="1">
        <f>+E10+E174</f>
        <v>2514771087.2200003</v>
      </c>
      <c r="F262" s="1">
        <f>+F10+F174</f>
        <v>2492958137.1700001</v>
      </c>
      <c r="W262" s="72"/>
      <c r="AD262" s="7"/>
      <c r="AE262" s="73"/>
      <c r="AF262" s="7"/>
      <c r="AG262" s="7"/>
      <c r="AH262" s="7"/>
      <c r="AI262" s="7"/>
    </row>
    <row r="263" spans="1:42" s="26" customFormat="1" ht="30" customHeight="1">
      <c r="A263" s="16" t="s">
        <v>205</v>
      </c>
      <c r="B263" s="17" t="s">
        <v>7</v>
      </c>
      <c r="C263" s="19" t="s">
        <v>430</v>
      </c>
      <c r="D263" s="1">
        <f>+D264+D275+D269</f>
        <v>55484158.32</v>
      </c>
      <c r="E263" s="1">
        <f>+E264+E275+E269</f>
        <v>22608458.000000007</v>
      </c>
      <c r="F263" s="1">
        <f>+F264+F275+F269</f>
        <v>47647309.999999978</v>
      </c>
      <c r="U263" s="6"/>
      <c r="V263" s="6"/>
      <c r="W263" s="115"/>
      <c r="X263" s="6"/>
      <c r="Y263" s="6"/>
      <c r="AD263" s="23"/>
      <c r="AE263" s="23"/>
      <c r="AF263" s="23"/>
      <c r="AG263" s="23"/>
      <c r="AH263" s="23"/>
      <c r="AI263" s="23"/>
    </row>
    <row r="264" spans="1:42" ht="21.75" customHeight="1">
      <c r="A264" s="16" t="s">
        <v>408</v>
      </c>
      <c r="B264" s="17" t="s">
        <v>7</v>
      </c>
      <c r="C264" s="19" t="s">
        <v>206</v>
      </c>
      <c r="D264" s="1">
        <f>+D265+D267</f>
        <v>97041790.469999999</v>
      </c>
      <c r="E264" s="1">
        <f>+E265+E267</f>
        <v>66333559.710000008</v>
      </c>
      <c r="F264" s="1">
        <f>+F265+F267</f>
        <v>69829411.709999979</v>
      </c>
    </row>
    <row r="265" spans="1:42" s="6" customFormat="1" ht="30" customHeight="1">
      <c r="A265" s="16" t="s">
        <v>409</v>
      </c>
      <c r="B265" s="17" t="s">
        <v>7</v>
      </c>
      <c r="C265" s="19" t="s">
        <v>207</v>
      </c>
      <c r="D265" s="1">
        <f>+D266</f>
        <v>198291790.47</v>
      </c>
      <c r="E265" s="1">
        <f>+E266</f>
        <v>264625350.18000001</v>
      </c>
      <c r="F265" s="1">
        <f>+F266</f>
        <v>451454761.88999999</v>
      </c>
      <c r="W265" s="115"/>
      <c r="AD265" s="120"/>
      <c r="AE265" s="120"/>
      <c r="AF265" s="120"/>
      <c r="AG265" s="120"/>
      <c r="AH265" s="120"/>
      <c r="AI265" s="120"/>
      <c r="AJ265" s="120"/>
      <c r="AK265" s="120"/>
      <c r="AL265" s="120"/>
    </row>
    <row r="266" spans="1:42" s="26" customFormat="1" ht="30" customHeight="1">
      <c r="A266" s="16" t="s">
        <v>410</v>
      </c>
      <c r="B266" s="17" t="s">
        <v>147</v>
      </c>
      <c r="C266" s="19" t="s">
        <v>208</v>
      </c>
      <c r="D266" s="1">
        <v>198291790.47</v>
      </c>
      <c r="E266" s="1">
        <v>264625350.18000001</v>
      </c>
      <c r="F266" s="1">
        <v>451454761.88999999</v>
      </c>
      <c r="U266" s="6"/>
      <c r="V266" s="6"/>
      <c r="W266" s="115"/>
      <c r="X266" s="6"/>
      <c r="Y266" s="6"/>
      <c r="AD266" s="74"/>
      <c r="AE266" s="74"/>
      <c r="AF266" s="75"/>
      <c r="AG266" s="74"/>
      <c r="AH266" s="76"/>
      <c r="AI266" s="76"/>
      <c r="AJ266" s="74"/>
      <c r="AK266" s="76"/>
      <c r="AL266" s="76"/>
      <c r="AM266" s="29"/>
      <c r="AN266" s="29"/>
      <c r="AO266" s="29"/>
      <c r="AP266" s="29"/>
    </row>
    <row r="267" spans="1:42" s="26" customFormat="1" ht="30" customHeight="1">
      <c r="A267" s="16" t="s">
        <v>411</v>
      </c>
      <c r="B267" s="17" t="s">
        <v>7</v>
      </c>
      <c r="C267" s="19" t="s">
        <v>209</v>
      </c>
      <c r="D267" s="1">
        <f>+D268</f>
        <v>-101250000</v>
      </c>
      <c r="E267" s="1">
        <f>+E268</f>
        <v>-198291790.47</v>
      </c>
      <c r="F267" s="1">
        <f>+F268</f>
        <v>-381625350.18000001</v>
      </c>
      <c r="U267" s="6"/>
      <c r="V267" s="6"/>
      <c r="W267" s="115"/>
      <c r="X267" s="6"/>
      <c r="Y267" s="6"/>
      <c r="AD267" s="23"/>
      <c r="AE267" s="23"/>
      <c r="AF267" s="23"/>
      <c r="AG267" s="23"/>
      <c r="AH267" s="23"/>
      <c r="AI267" s="23"/>
    </row>
    <row r="268" spans="1:42" s="26" customFormat="1" ht="30" customHeight="1">
      <c r="A268" s="16" t="s">
        <v>429</v>
      </c>
      <c r="B268" s="17" t="s">
        <v>147</v>
      </c>
      <c r="C268" s="19" t="s">
        <v>210</v>
      </c>
      <c r="D268" s="1">
        <v>-101250000</v>
      </c>
      <c r="E268" s="1">
        <v>-198291790.47</v>
      </c>
      <c r="F268" s="1">
        <v>-381625350.18000001</v>
      </c>
      <c r="U268" s="6"/>
      <c r="V268" s="6"/>
      <c r="W268" s="115"/>
      <c r="X268" s="6"/>
      <c r="Y268" s="6"/>
      <c r="AD268" s="77"/>
      <c r="AE268" s="77"/>
      <c r="AF268" s="76"/>
      <c r="AG268" s="77"/>
      <c r="AH268" s="76"/>
      <c r="AI268" s="76"/>
      <c r="AJ268" s="77"/>
      <c r="AK268" s="76"/>
      <c r="AL268" s="76"/>
    </row>
    <row r="269" spans="1:42" s="26" customFormat="1" ht="30" customHeight="1">
      <c r="A269" s="78" t="s">
        <v>412</v>
      </c>
      <c r="B269" s="17" t="s">
        <v>7</v>
      </c>
      <c r="C269" s="79" t="s">
        <v>211</v>
      </c>
      <c r="D269" s="1">
        <f>+D270</f>
        <v>-51588739.149999999</v>
      </c>
      <c r="E269" s="1">
        <f>+E270</f>
        <v>-43725101.710000001</v>
      </c>
      <c r="F269" s="1">
        <f>+F270</f>
        <v>-22182101.710000001</v>
      </c>
      <c r="U269" s="6"/>
      <c r="V269" s="6"/>
      <c r="W269" s="115"/>
      <c r="X269" s="6"/>
      <c r="Y269" s="6"/>
      <c r="AD269" s="23"/>
      <c r="AE269" s="23"/>
      <c r="AF269" s="23"/>
      <c r="AG269" s="23"/>
      <c r="AH269" s="23"/>
      <c r="AI269" s="23"/>
    </row>
    <row r="270" spans="1:42" s="26" customFormat="1" ht="30" customHeight="1">
      <c r="A270" s="78" t="s">
        <v>413</v>
      </c>
      <c r="B270" s="17" t="s">
        <v>7</v>
      </c>
      <c r="C270" s="79" t="s">
        <v>212</v>
      </c>
      <c r="D270" s="1">
        <f>+D273+D271</f>
        <v>-51588739.149999999</v>
      </c>
      <c r="E270" s="1">
        <f>+E273+E271</f>
        <v>-43725101.710000001</v>
      </c>
      <c r="F270" s="1">
        <f>+F273+F271</f>
        <v>-22182101.710000001</v>
      </c>
      <c r="U270" s="6"/>
      <c r="V270" s="6"/>
      <c r="W270" s="115"/>
      <c r="X270" s="6"/>
      <c r="Y270" s="6"/>
      <c r="AD270" s="23"/>
      <c r="AE270" s="23"/>
      <c r="AF270" s="23"/>
      <c r="AG270" s="23"/>
      <c r="AH270" s="23"/>
      <c r="AI270" s="23"/>
    </row>
    <row r="271" spans="1:42" s="26" customFormat="1" ht="30" hidden="1" customHeight="1">
      <c r="A271" s="78" t="s">
        <v>414</v>
      </c>
      <c r="B271" s="17" t="s">
        <v>7</v>
      </c>
      <c r="C271" s="79" t="s">
        <v>271</v>
      </c>
      <c r="D271" s="1">
        <f>+D272</f>
        <v>0</v>
      </c>
      <c r="E271" s="1">
        <f>+E272</f>
        <v>0</v>
      </c>
      <c r="F271" s="1">
        <f>+F272</f>
        <v>0</v>
      </c>
      <c r="U271" s="6"/>
      <c r="V271" s="6"/>
      <c r="W271" s="6"/>
      <c r="X271" s="6"/>
      <c r="Y271" s="6"/>
      <c r="AD271" s="23"/>
      <c r="AE271" s="23"/>
      <c r="AF271" s="23"/>
      <c r="AG271" s="23"/>
      <c r="AH271" s="23"/>
      <c r="AI271" s="23"/>
    </row>
    <row r="272" spans="1:42" s="26" customFormat="1" ht="42" hidden="1" customHeight="1">
      <c r="A272" s="78" t="s">
        <v>415</v>
      </c>
      <c r="B272" s="17" t="s">
        <v>147</v>
      </c>
      <c r="C272" s="79" t="s">
        <v>272</v>
      </c>
      <c r="D272" s="1"/>
      <c r="E272" s="1"/>
      <c r="F272" s="1"/>
      <c r="U272" s="6"/>
      <c r="V272" s="6"/>
      <c r="W272" s="6"/>
      <c r="X272" s="6"/>
      <c r="Y272" s="6"/>
      <c r="AD272" s="23"/>
      <c r="AE272" s="23"/>
      <c r="AF272" s="23"/>
      <c r="AG272" s="23"/>
      <c r="AH272" s="23"/>
      <c r="AI272" s="23"/>
    </row>
    <row r="273" spans="1:38" s="26" customFormat="1" ht="43.5" customHeight="1">
      <c r="A273" s="34" t="s">
        <v>416</v>
      </c>
      <c r="B273" s="80" t="s">
        <v>7</v>
      </c>
      <c r="C273" s="81" t="s">
        <v>213</v>
      </c>
      <c r="D273" s="1">
        <f>+D274</f>
        <v>-51588739.149999999</v>
      </c>
      <c r="E273" s="1">
        <f>+E274</f>
        <v>-43725101.710000001</v>
      </c>
      <c r="F273" s="1">
        <f>+F274</f>
        <v>-22182101.710000001</v>
      </c>
      <c r="U273" s="6"/>
      <c r="V273" s="6"/>
      <c r="W273" s="115"/>
      <c r="X273" s="6"/>
      <c r="Y273" s="6"/>
      <c r="AD273" s="23"/>
      <c r="AE273" s="23"/>
      <c r="AF273" s="23"/>
      <c r="AG273" s="23"/>
      <c r="AH273" s="23"/>
      <c r="AI273" s="23"/>
    </row>
    <row r="274" spans="1:38" s="26" customFormat="1" ht="43.5" customHeight="1">
      <c r="A274" s="34" t="s">
        <v>417</v>
      </c>
      <c r="B274" s="80">
        <v>905</v>
      </c>
      <c r="C274" s="81" t="s">
        <v>214</v>
      </c>
      <c r="D274" s="1">
        <v>-51588739.149999999</v>
      </c>
      <c r="E274" s="1">
        <v>-43725101.710000001</v>
      </c>
      <c r="F274" s="1">
        <v>-22182101.710000001</v>
      </c>
      <c r="U274" s="6"/>
      <c r="V274" s="6"/>
      <c r="W274" s="115"/>
      <c r="X274" s="6"/>
      <c r="Y274" s="6"/>
      <c r="AD274" s="74"/>
      <c r="AE274" s="74"/>
      <c r="AF274" s="75"/>
      <c r="AG274" s="74"/>
      <c r="AH274" s="74"/>
      <c r="AI274" s="75"/>
      <c r="AJ274" s="74"/>
      <c r="AK274" s="74"/>
      <c r="AL274" s="75"/>
    </row>
    <row r="275" spans="1:38" s="6" customFormat="1" ht="22.5" customHeight="1">
      <c r="A275" s="16" t="s">
        <v>428</v>
      </c>
      <c r="B275" s="17" t="s">
        <v>7</v>
      </c>
      <c r="C275" s="19" t="s">
        <v>215</v>
      </c>
      <c r="D275" s="1">
        <f>D280+D276</f>
        <v>10031107</v>
      </c>
      <c r="E275" s="1">
        <f>E280+E276</f>
        <v>0</v>
      </c>
      <c r="F275" s="1">
        <f>F280+F276</f>
        <v>0</v>
      </c>
      <c r="W275" s="115"/>
      <c r="AD275" s="7"/>
      <c r="AE275" s="7"/>
      <c r="AF275" s="7"/>
      <c r="AG275" s="7"/>
      <c r="AH275" s="7"/>
      <c r="AI275" s="7"/>
    </row>
    <row r="276" spans="1:38" s="6" customFormat="1" ht="21.75" customHeight="1">
      <c r="A276" s="16" t="s">
        <v>427</v>
      </c>
      <c r="B276" s="17" t="s">
        <v>7</v>
      </c>
      <c r="C276" s="19" t="s">
        <v>216</v>
      </c>
      <c r="D276" s="1">
        <f>D277</f>
        <v>-3090571031.7399998</v>
      </c>
      <c r="E276" s="1">
        <f>E277</f>
        <v>-2799406336.1399999</v>
      </c>
      <c r="F276" s="1">
        <f>F277</f>
        <v>-2947072610.8099999</v>
      </c>
      <c r="W276" s="115"/>
      <c r="AD276" s="7"/>
      <c r="AE276" s="7"/>
      <c r="AF276" s="7"/>
      <c r="AG276" s="7"/>
      <c r="AH276" s="7"/>
      <c r="AI276" s="7"/>
    </row>
    <row r="277" spans="1:38" s="6" customFormat="1" ht="20.25" customHeight="1">
      <c r="A277" s="16" t="s">
        <v>426</v>
      </c>
      <c r="B277" s="17" t="s">
        <v>7</v>
      </c>
      <c r="C277" s="19" t="s">
        <v>217</v>
      </c>
      <c r="D277" s="1">
        <f>+D278</f>
        <v>-3090571031.7399998</v>
      </c>
      <c r="E277" s="1">
        <f>+E278</f>
        <v>-2799406336.1399999</v>
      </c>
      <c r="F277" s="1">
        <f>+F278</f>
        <v>-2947072610.8099999</v>
      </c>
      <c r="W277" s="115"/>
      <c r="AD277" s="7"/>
      <c r="AE277" s="7"/>
      <c r="AF277" s="7"/>
      <c r="AG277" s="7"/>
      <c r="AH277" s="7"/>
      <c r="AI277" s="7"/>
    </row>
    <row r="278" spans="1:38" s="26" customFormat="1" ht="20.25" customHeight="1">
      <c r="A278" s="16" t="s">
        <v>425</v>
      </c>
      <c r="B278" s="17" t="s">
        <v>7</v>
      </c>
      <c r="C278" s="19" t="s">
        <v>218</v>
      </c>
      <c r="D278" s="1">
        <f>D279</f>
        <v>-3090571031.7399998</v>
      </c>
      <c r="E278" s="1">
        <f>E279</f>
        <v>-2799406336.1399999</v>
      </c>
      <c r="F278" s="1">
        <f>F279</f>
        <v>-2947072610.8099999</v>
      </c>
      <c r="U278" s="6"/>
      <c r="V278" s="6"/>
      <c r="W278" s="115"/>
      <c r="X278" s="6"/>
      <c r="Y278" s="6"/>
      <c r="AD278" s="23"/>
      <c r="AE278" s="23"/>
      <c r="AF278" s="23"/>
      <c r="AG278" s="23"/>
      <c r="AH278" s="23"/>
      <c r="AI278" s="23"/>
    </row>
    <row r="279" spans="1:38" s="6" customFormat="1" ht="30" customHeight="1">
      <c r="A279" s="16" t="s">
        <v>424</v>
      </c>
      <c r="B279" s="17" t="s">
        <v>7</v>
      </c>
      <c r="C279" s="19" t="s">
        <v>219</v>
      </c>
      <c r="D279" s="1">
        <v>-3090571031.7399998</v>
      </c>
      <c r="E279" s="1">
        <v>-2799406336.1399999</v>
      </c>
      <c r="F279" s="1">
        <v>-2947072610.8099999</v>
      </c>
      <c r="W279" s="115"/>
      <c r="AD279" s="74"/>
      <c r="AE279" s="76"/>
      <c r="AF279" s="76"/>
      <c r="AG279" s="74"/>
      <c r="AH279" s="76"/>
      <c r="AI279" s="76"/>
      <c r="AJ279" s="74"/>
      <c r="AK279" s="76"/>
      <c r="AL279" s="76"/>
    </row>
    <row r="280" spans="1:38" s="6" customFormat="1" ht="21.75" customHeight="1">
      <c r="A280" s="16" t="s">
        <v>423</v>
      </c>
      <c r="B280" s="17" t="s">
        <v>7</v>
      </c>
      <c r="C280" s="19" t="s">
        <v>220</v>
      </c>
      <c r="D280" s="1">
        <f t="shared" ref="D280:F282" si="51">D281</f>
        <v>3100602138.7399998</v>
      </c>
      <c r="E280" s="1">
        <f t="shared" si="51"/>
        <v>2799406336.1399999</v>
      </c>
      <c r="F280" s="1">
        <f t="shared" si="51"/>
        <v>2947072610.8099999</v>
      </c>
      <c r="W280" s="115"/>
      <c r="AD280" s="7"/>
      <c r="AE280" s="7"/>
      <c r="AF280" s="7"/>
      <c r="AG280" s="7"/>
      <c r="AH280" s="7"/>
      <c r="AI280" s="7"/>
    </row>
    <row r="281" spans="1:38" s="6" customFormat="1" ht="24.75" customHeight="1">
      <c r="A281" s="16" t="s">
        <v>422</v>
      </c>
      <c r="B281" s="17" t="s">
        <v>7</v>
      </c>
      <c r="C281" s="19" t="s">
        <v>221</v>
      </c>
      <c r="D281" s="1">
        <f t="shared" si="51"/>
        <v>3100602138.7399998</v>
      </c>
      <c r="E281" s="1">
        <f t="shared" si="51"/>
        <v>2799406336.1399999</v>
      </c>
      <c r="F281" s="1">
        <f t="shared" si="51"/>
        <v>2947072610.8099999</v>
      </c>
      <c r="W281" s="115"/>
      <c r="AD281" s="7"/>
      <c r="AE281" s="7"/>
      <c r="AF281" s="7"/>
      <c r="AG281" s="7"/>
      <c r="AH281" s="7"/>
      <c r="AI281" s="7"/>
    </row>
    <row r="282" spans="1:38" s="6" customFormat="1" ht="23.25" customHeight="1">
      <c r="A282" s="16" t="s">
        <v>421</v>
      </c>
      <c r="B282" s="17" t="s">
        <v>7</v>
      </c>
      <c r="C282" s="19" t="s">
        <v>222</v>
      </c>
      <c r="D282" s="1">
        <f t="shared" si="51"/>
        <v>3100602138.7399998</v>
      </c>
      <c r="E282" s="1">
        <f t="shared" si="51"/>
        <v>2799406336.1399999</v>
      </c>
      <c r="F282" s="1">
        <f t="shared" si="51"/>
        <v>2947072610.8099999</v>
      </c>
      <c r="W282" s="115"/>
      <c r="AD282" s="7"/>
      <c r="AE282" s="7"/>
      <c r="AF282" s="7"/>
      <c r="AG282" s="7"/>
      <c r="AH282" s="7"/>
      <c r="AI282" s="7"/>
    </row>
    <row r="283" spans="1:38" s="6" customFormat="1" ht="30" customHeight="1">
      <c r="A283" s="16" t="s">
        <v>324</v>
      </c>
      <c r="B283" s="17" t="s">
        <v>7</v>
      </c>
      <c r="C283" s="19" t="s">
        <v>223</v>
      </c>
      <c r="D283" s="1">
        <v>3100602138.7399998</v>
      </c>
      <c r="E283" s="1">
        <v>2799406336.1399999</v>
      </c>
      <c r="F283" s="1">
        <v>2947072610.8099999</v>
      </c>
      <c r="W283" s="115"/>
      <c r="AD283" s="74"/>
      <c r="AE283" s="76"/>
      <c r="AF283" s="76"/>
      <c r="AG283" s="74"/>
      <c r="AH283" s="76"/>
      <c r="AI283" s="76"/>
      <c r="AJ283" s="74"/>
      <c r="AK283" s="76"/>
      <c r="AL283" s="76"/>
    </row>
    <row r="284" spans="1:38" s="114" customFormat="1" ht="15">
      <c r="A284" s="118"/>
      <c r="B284" s="118"/>
      <c r="C284" s="118"/>
      <c r="D284" s="118"/>
      <c r="E284" s="118"/>
      <c r="F284" s="118"/>
    </row>
    <row r="285" spans="1:38" s="114" customFormat="1" ht="15">
      <c r="A285" s="118"/>
      <c r="B285" s="118"/>
      <c r="C285" s="118"/>
      <c r="D285" s="118"/>
      <c r="E285" s="118"/>
      <c r="F285" s="118"/>
    </row>
    <row r="286" spans="1:38" s="114" customFormat="1" ht="18.75">
      <c r="A286" s="106" t="s">
        <v>269</v>
      </c>
      <c r="B286" s="118"/>
      <c r="C286" s="118"/>
      <c r="D286" s="118"/>
      <c r="E286" s="127" t="s">
        <v>473</v>
      </c>
      <c r="F286" s="127"/>
      <c r="K286" s="127" t="s">
        <v>473</v>
      </c>
      <c r="L286" s="127"/>
    </row>
    <row r="287" spans="1:38" s="114" customFormat="1" ht="15">
      <c r="A287" s="118"/>
      <c r="B287" s="118"/>
      <c r="C287" s="118"/>
      <c r="D287" s="118"/>
      <c r="E287" s="119"/>
      <c r="F287" s="119"/>
    </row>
    <row r="288" spans="1:38" s="114" customFormat="1" ht="15">
      <c r="A288" s="118"/>
      <c r="B288" s="118"/>
      <c r="C288" s="118"/>
      <c r="D288" s="118"/>
      <c r="E288" s="119"/>
      <c r="F288" s="119"/>
    </row>
    <row r="289" spans="1:35" s="114" customFormat="1" ht="18.75">
      <c r="A289" s="106" t="s">
        <v>474</v>
      </c>
      <c r="B289" s="118"/>
      <c r="C289" s="118"/>
      <c r="D289" s="118"/>
      <c r="E289" s="127" t="s">
        <v>475</v>
      </c>
      <c r="F289" s="127"/>
      <c r="K289" s="127" t="s">
        <v>475</v>
      </c>
      <c r="L289" s="127"/>
    </row>
    <row r="290" spans="1:35" s="114" customFormat="1" ht="15">
      <c r="A290" s="113"/>
      <c r="B290" s="113"/>
      <c r="C290" s="113"/>
      <c r="D290" s="113"/>
      <c r="E290" s="113"/>
      <c r="F290" s="113"/>
    </row>
    <row r="291" spans="1:35" s="114" customFormat="1" ht="18.75">
      <c r="A291" s="106"/>
      <c r="B291" s="113"/>
      <c r="C291" s="113"/>
      <c r="D291" s="113"/>
      <c r="E291" s="113"/>
      <c r="F291" s="113"/>
      <c r="K291" s="127" t="s">
        <v>473</v>
      </c>
      <c r="L291" s="127"/>
    </row>
    <row r="292" spans="1:35" s="114" customFormat="1" ht="15">
      <c r="A292" s="113"/>
      <c r="B292" s="113"/>
      <c r="C292" s="113"/>
      <c r="D292" s="113"/>
      <c r="E292" s="113"/>
      <c r="F292" s="113"/>
    </row>
    <row r="293" spans="1:35" s="114" customFormat="1" ht="15">
      <c r="A293" s="113"/>
      <c r="B293" s="113"/>
      <c r="C293" s="113"/>
      <c r="D293" s="113"/>
      <c r="E293" s="113"/>
      <c r="F293" s="113"/>
    </row>
    <row r="294" spans="1:35" s="114" customFormat="1" ht="18.75">
      <c r="A294" s="106"/>
      <c r="B294" s="113"/>
      <c r="C294" s="113"/>
      <c r="D294" s="113"/>
      <c r="E294" s="113"/>
      <c r="F294" s="113"/>
      <c r="K294" s="127"/>
      <c r="L294" s="127"/>
    </row>
    <row r="295" spans="1:35" s="6" customFormat="1" ht="20.25" customHeight="1">
      <c r="A295" s="86"/>
      <c r="B295" s="98"/>
      <c r="C295" s="91"/>
      <c r="D295" s="91"/>
      <c r="E295" s="85"/>
      <c r="F295" s="85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W295" s="115"/>
      <c r="AD295" s="7"/>
      <c r="AE295" s="7"/>
      <c r="AF295" s="7"/>
      <c r="AG295" s="7"/>
      <c r="AH295" s="7"/>
      <c r="AI295" s="7"/>
    </row>
    <row r="296" spans="1:35" s="6" customFormat="1" ht="30" customHeight="1">
      <c r="A296" s="82"/>
      <c r="B296" s="83"/>
      <c r="C296" s="59"/>
      <c r="D296" s="84"/>
      <c r="E296" s="99"/>
      <c r="F296" s="84"/>
      <c r="W296" s="115"/>
      <c r="AD296" s="7"/>
      <c r="AE296" s="7"/>
      <c r="AF296" s="7"/>
      <c r="AG296" s="7"/>
      <c r="AH296" s="7"/>
      <c r="AI296" s="7"/>
    </row>
    <row r="297" spans="1:35" ht="30" customHeight="1">
      <c r="A297" s="95"/>
    </row>
    <row r="298" spans="1:35" s="6" customFormat="1" ht="30" customHeight="1">
      <c r="A298" s="100"/>
      <c r="B298" s="87"/>
      <c r="C298" s="88"/>
      <c r="D298" s="88"/>
      <c r="E298" s="89"/>
      <c r="F298" s="89"/>
      <c r="W298" s="115"/>
      <c r="AD298" s="7"/>
      <c r="AE298" s="7"/>
      <c r="AF298" s="7"/>
      <c r="AG298" s="7"/>
      <c r="AH298" s="7"/>
      <c r="AI298" s="7"/>
    </row>
    <row r="299" spans="1:35" s="92" customFormat="1" ht="30" customHeight="1">
      <c r="A299" s="100"/>
      <c r="B299" s="90"/>
      <c r="C299" s="91"/>
      <c r="D299" s="91"/>
      <c r="E299" s="101"/>
      <c r="F299" s="91"/>
      <c r="U299" s="93"/>
      <c r="V299" s="93"/>
      <c r="W299" s="94"/>
      <c r="X299" s="93"/>
      <c r="Y299" s="93"/>
      <c r="AD299" s="23"/>
      <c r="AE299" s="23"/>
      <c r="AF299" s="23"/>
      <c r="AG299" s="23"/>
      <c r="AH299" s="23"/>
      <c r="AI299" s="23"/>
    </row>
    <row r="301" spans="1:35" s="6" customFormat="1" ht="30" customHeight="1">
      <c r="A301" s="100"/>
      <c r="B301" s="98"/>
      <c r="C301" s="91"/>
      <c r="D301" s="91"/>
      <c r="E301" s="85"/>
      <c r="F301" s="85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W301" s="115"/>
      <c r="AD301" s="7"/>
      <c r="AE301" s="7"/>
      <c r="AF301" s="7"/>
      <c r="AG301" s="7"/>
      <c r="AH301" s="7"/>
      <c r="AI301" s="7"/>
    </row>
    <row r="303" spans="1:35" ht="30" customHeight="1">
      <c r="A303" s="102"/>
      <c r="B303" s="103"/>
      <c r="C303" s="104"/>
      <c r="D303" s="25"/>
      <c r="E303" s="10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</row>
    <row r="304" spans="1:35" ht="30" customHeight="1">
      <c r="C304" s="96"/>
      <c r="D304" s="25"/>
      <c r="E304" s="10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</row>
    <row r="305" spans="3:20" ht="30" customHeight="1">
      <c r="C305" s="96"/>
      <c r="D305" s="25"/>
      <c r="E305" s="10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</row>
    <row r="306" spans="3:20" ht="30" customHeight="1">
      <c r="C306" s="96"/>
      <c r="D306" s="25"/>
      <c r="E306" s="10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</row>
    <row r="308" spans="3:20" ht="30" customHeight="1">
      <c r="C308" s="96"/>
    </row>
  </sheetData>
  <autoFilter ref="A9:AA283">
    <filterColumn colId="1"/>
  </autoFilter>
  <mergeCells count="18">
    <mergeCell ref="K291:L291"/>
    <mergeCell ref="K294:L294"/>
    <mergeCell ref="K286:L286"/>
    <mergeCell ref="K289:L289"/>
    <mergeCell ref="E286:F286"/>
    <mergeCell ref="E289:F289"/>
    <mergeCell ref="D1:F5"/>
    <mergeCell ref="A6:F6"/>
    <mergeCell ref="A8:A9"/>
    <mergeCell ref="B8:C8"/>
    <mergeCell ref="D8:D9"/>
    <mergeCell ref="E8:E9"/>
    <mergeCell ref="F8:F9"/>
    <mergeCell ref="AD265:AF265"/>
    <mergeCell ref="AG265:AI265"/>
    <mergeCell ref="AJ265:AL265"/>
    <mergeCell ref="U12:W12"/>
    <mergeCell ref="U10:W10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2020-2022итоговая</vt:lpstr>
      <vt:lpstr>'2020-2022итоговая'!Заголовки_для_печати</vt:lpstr>
      <vt:lpstr>'2020-2022итоговая'!Область_печати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2020-11-06T02:25:58Z</dcterms:modified>
</cp:coreProperties>
</file>