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85" windowWidth="14805" windowHeight="7830"/>
  </bookViews>
  <sheets>
    <sheet name="2019-2021" sheetId="1" r:id="rId1"/>
  </sheets>
  <definedNames>
    <definedName name="_xlnm._FilterDatabase" localSheetId="0" hidden="1">'2019-2021'!$A$9:$XEP$279</definedName>
    <definedName name="_xlnm.Print_Titles" localSheetId="0">'2019-2021'!$8:$9</definedName>
    <definedName name="_xlnm.Print_Area" localSheetId="0">'2019-2021'!$A$1:$G$298</definedName>
  </definedNames>
  <calcPr calcId="124519"/>
</workbook>
</file>

<file path=xl/calcChain.xml><?xml version="1.0" encoding="utf-8"?>
<calcChain xmlns="http://schemas.openxmlformats.org/spreadsheetml/2006/main">
  <c r="E100" i="1"/>
  <c r="D100"/>
  <c r="F13" l="1"/>
  <c r="E185" l="1"/>
  <c r="E182"/>
  <c r="D182"/>
  <c r="E179"/>
  <c r="E176" s="1"/>
  <c r="D179"/>
  <c r="F177"/>
  <c r="E156" l="1"/>
  <c r="E145"/>
  <c r="D145"/>
  <c r="E129"/>
  <c r="D129"/>
  <c r="E131"/>
  <c r="F130"/>
  <c r="F129" s="1"/>
  <c r="E124"/>
  <c r="F104"/>
  <c r="E79"/>
  <c r="E78" s="1"/>
  <c r="F34" l="1"/>
  <c r="D125"/>
  <c r="D124" s="1"/>
  <c r="G62"/>
  <c r="F247"/>
  <c r="D226"/>
  <c r="E212"/>
  <c r="E211" s="1"/>
  <c r="F187"/>
  <c r="F184"/>
  <c r="F181"/>
  <c r="F174" l="1"/>
  <c r="E173"/>
  <c r="F173"/>
  <c r="D173"/>
  <c r="E155"/>
  <c r="F64"/>
  <c r="E63"/>
  <c r="E62" s="1"/>
  <c r="D63"/>
  <c r="D62" s="1"/>
  <c r="F63" l="1"/>
  <c r="F62" s="1"/>
  <c r="G13"/>
  <c r="G34"/>
  <c r="G44"/>
  <c r="G59"/>
  <c r="G61"/>
  <c r="G75"/>
  <c r="G101"/>
  <c r="G102"/>
  <c r="G104"/>
  <c r="G112"/>
  <c r="G122"/>
  <c r="G136"/>
  <c r="G139"/>
  <c r="G144"/>
  <c r="G146"/>
  <c r="G148"/>
  <c r="G150"/>
  <c r="G152"/>
  <c r="G159"/>
  <c r="G163"/>
  <c r="G169"/>
  <c r="G177"/>
  <c r="G180"/>
  <c r="G183"/>
  <c r="G194"/>
  <c r="G195"/>
  <c r="G197"/>
  <c r="G200"/>
  <c r="G202"/>
  <c r="G204"/>
  <c r="G206"/>
  <c r="G208"/>
  <c r="G210"/>
  <c r="G214"/>
  <c r="G215"/>
  <c r="G216"/>
  <c r="G217"/>
  <c r="G218"/>
  <c r="G219"/>
  <c r="G221"/>
  <c r="G222"/>
  <c r="G223"/>
  <c r="G235"/>
  <c r="G238"/>
  <c r="G240"/>
  <c r="G247"/>
  <c r="G256"/>
  <c r="G262"/>
  <c r="G264"/>
  <c r="G268"/>
  <c r="G270"/>
  <c r="G275"/>
  <c r="G279"/>
  <c r="E12"/>
  <c r="F17"/>
  <c r="F279"/>
  <c r="F275"/>
  <c r="F270"/>
  <c r="F268"/>
  <c r="F264"/>
  <c r="F262"/>
  <c r="F256"/>
  <c r="F240"/>
  <c r="F235"/>
  <c r="F238"/>
  <c r="F221"/>
  <c r="F222"/>
  <c r="F223"/>
  <c r="F217"/>
  <c r="F218"/>
  <c r="F219"/>
  <c r="F214"/>
  <c r="F215"/>
  <c r="F216"/>
  <c r="F210"/>
  <c r="F208"/>
  <c r="F206"/>
  <c r="F204"/>
  <c r="F202"/>
  <c r="F200"/>
  <c r="F197"/>
  <c r="F195"/>
  <c r="F194"/>
  <c r="F183"/>
  <c r="F182" s="1"/>
  <c r="F180"/>
  <c r="F179" s="1"/>
  <c r="F159"/>
  <c r="F163"/>
  <c r="F169"/>
  <c r="F152"/>
  <c r="F150"/>
  <c r="F148"/>
  <c r="F146"/>
  <c r="F145" s="1"/>
  <c r="F144"/>
  <c r="F139"/>
  <c r="F122"/>
  <c r="F112"/>
  <c r="F111" s="1"/>
  <c r="F102"/>
  <c r="F101"/>
  <c r="F75"/>
  <c r="F61"/>
  <c r="F59"/>
  <c r="F58" s="1"/>
  <c r="F54"/>
  <c r="F44"/>
  <c r="E109"/>
  <c r="D257" l="1"/>
  <c r="D255"/>
  <c r="D252"/>
  <c r="D253"/>
  <c r="F253" l="1"/>
  <c r="G253"/>
  <c r="F255"/>
  <c r="G255"/>
  <c r="F252"/>
  <c r="G252"/>
  <c r="F257"/>
  <c r="G257"/>
  <c r="D36"/>
  <c r="D41"/>
  <c r="F41" l="1"/>
  <c r="G41"/>
  <c r="F36"/>
  <c r="G36"/>
  <c r="F254"/>
  <c r="E254"/>
  <c r="D254"/>
  <c r="G254" l="1"/>
  <c r="D186"/>
  <c r="D185" s="1"/>
  <c r="D178"/>
  <c r="D170"/>
  <c r="D168"/>
  <c r="D167"/>
  <c r="D166"/>
  <c r="D165"/>
  <c r="D164"/>
  <c r="D162"/>
  <c r="D161"/>
  <c r="D160"/>
  <c r="D157"/>
  <c r="D154"/>
  <c r="D151"/>
  <c r="D149" s="1"/>
  <c r="F151" l="1"/>
  <c r="G151"/>
  <c r="F157"/>
  <c r="F161"/>
  <c r="G161"/>
  <c r="F164"/>
  <c r="G164"/>
  <c r="F166"/>
  <c r="G166"/>
  <c r="F168"/>
  <c r="G168"/>
  <c r="F178"/>
  <c r="G178"/>
  <c r="F154"/>
  <c r="G154"/>
  <c r="F160"/>
  <c r="G160"/>
  <c r="F162"/>
  <c r="G162"/>
  <c r="F165"/>
  <c r="G165"/>
  <c r="F167"/>
  <c r="G167"/>
  <c r="F170"/>
  <c r="G170"/>
  <c r="F186"/>
  <c r="F185" s="1"/>
  <c r="G186"/>
  <c r="D142"/>
  <c r="D138"/>
  <c r="D137" s="1"/>
  <c r="F135"/>
  <c r="E135"/>
  <c r="D135"/>
  <c r="D132"/>
  <c r="D131" s="1"/>
  <c r="D121"/>
  <c r="D111"/>
  <c r="D117"/>
  <c r="D115"/>
  <c r="D110"/>
  <c r="G110" s="1"/>
  <c r="D105"/>
  <c r="D103"/>
  <c r="D97"/>
  <c r="D89"/>
  <c r="D88"/>
  <c r="D86"/>
  <c r="D85"/>
  <c r="D81"/>
  <c r="D72"/>
  <c r="D68"/>
  <c r="D67" s="1"/>
  <c r="G103" l="1"/>
  <c r="F103"/>
  <c r="D123"/>
  <c r="F68"/>
  <c r="G68"/>
  <c r="F81"/>
  <c r="G81"/>
  <c r="F86"/>
  <c r="G86"/>
  <c r="F89"/>
  <c r="G89"/>
  <c r="F115"/>
  <c r="G115"/>
  <c r="F138"/>
  <c r="G138"/>
  <c r="F72"/>
  <c r="G72"/>
  <c r="F85"/>
  <c r="G85"/>
  <c r="F88"/>
  <c r="G88"/>
  <c r="F97"/>
  <c r="G97"/>
  <c r="F105"/>
  <c r="G105"/>
  <c r="F117"/>
  <c r="G117"/>
  <c r="F121"/>
  <c r="G121"/>
  <c r="F125"/>
  <c r="F124" s="1"/>
  <c r="G125"/>
  <c r="F132"/>
  <c r="F131" s="1"/>
  <c r="G132"/>
  <c r="F142"/>
  <c r="G142"/>
  <c r="G135"/>
  <c r="D109"/>
  <c r="G109" s="1"/>
  <c r="F110"/>
  <c r="G145"/>
  <c r="E58"/>
  <c r="D58"/>
  <c r="D56"/>
  <c r="D49"/>
  <c r="D47"/>
  <c r="D39"/>
  <c r="D108" l="1"/>
  <c r="F47"/>
  <c r="G47"/>
  <c r="F56"/>
  <c r="G56"/>
  <c r="G58"/>
  <c r="F39"/>
  <c r="G39"/>
  <c r="F49"/>
  <c r="G49"/>
  <c r="D37"/>
  <c r="D31"/>
  <c r="D27"/>
  <c r="D23"/>
  <c r="G23" s="1"/>
  <c r="D16"/>
  <c r="D15"/>
  <c r="E11"/>
  <c r="E20"/>
  <c r="E22"/>
  <c r="E24"/>
  <c r="E26"/>
  <c r="E30"/>
  <c r="E32"/>
  <c r="E35"/>
  <c r="E38"/>
  <c r="E40"/>
  <c r="E43"/>
  <c r="E46"/>
  <c r="E48"/>
  <c r="E51"/>
  <c r="E55"/>
  <c r="E60"/>
  <c r="E57" s="1"/>
  <c r="E67"/>
  <c r="E69"/>
  <c r="E71"/>
  <c r="E74"/>
  <c r="E87"/>
  <c r="E91"/>
  <c r="E96"/>
  <c r="E111"/>
  <c r="G111" s="1"/>
  <c r="E114"/>
  <c r="E116"/>
  <c r="E119"/>
  <c r="E123"/>
  <c r="E126"/>
  <c r="E133"/>
  <c r="E128" s="1"/>
  <c r="E137"/>
  <c r="E141"/>
  <c r="E143"/>
  <c r="E147"/>
  <c r="E149"/>
  <c r="E153"/>
  <c r="E193"/>
  <c r="E196"/>
  <c r="E199"/>
  <c r="E201"/>
  <c r="E203"/>
  <c r="E205"/>
  <c r="E207"/>
  <c r="E209"/>
  <c r="E225"/>
  <c r="E228"/>
  <c r="E239"/>
  <c r="E242"/>
  <c r="E246"/>
  <c r="E251"/>
  <c r="E250" s="1"/>
  <c r="E261"/>
  <c r="E263"/>
  <c r="E267"/>
  <c r="E269"/>
  <c r="E274"/>
  <c r="E278"/>
  <c r="D14"/>
  <c r="G14" l="1"/>
  <c r="F14"/>
  <c r="E192"/>
  <c r="E198"/>
  <c r="E273"/>
  <c r="E245"/>
  <c r="F15"/>
  <c r="G15"/>
  <c r="F31"/>
  <c r="G31"/>
  <c r="F37"/>
  <c r="G37"/>
  <c r="E277"/>
  <c r="E249"/>
  <c r="E241"/>
  <c r="E227"/>
  <c r="F16"/>
  <c r="G16"/>
  <c r="F27"/>
  <c r="G27"/>
  <c r="F33"/>
  <c r="G33"/>
  <c r="E140"/>
  <c r="E118" s="1"/>
  <c r="E99"/>
  <c r="E95"/>
  <c r="E90"/>
  <c r="E84"/>
  <c r="E73"/>
  <c r="E53"/>
  <c r="E50" s="1"/>
  <c r="D12"/>
  <c r="G12" s="1"/>
  <c r="D22"/>
  <c r="G22" s="1"/>
  <c r="F23"/>
  <c r="E19"/>
  <c r="E29"/>
  <c r="E45"/>
  <c r="E266"/>
  <c r="E260"/>
  <c r="E113"/>
  <c r="E108"/>
  <c r="G108" s="1"/>
  <c r="E66"/>
  <c r="D244"/>
  <c r="D237"/>
  <c r="D236"/>
  <c r="D234"/>
  <c r="D233"/>
  <c r="D232"/>
  <c r="D231"/>
  <c r="D230"/>
  <c r="D220"/>
  <c r="F12" l="1"/>
  <c r="F11" s="1"/>
  <c r="E83"/>
  <c r="E224"/>
  <c r="E191" s="1"/>
  <c r="F230"/>
  <c r="G230"/>
  <c r="F232"/>
  <c r="G232"/>
  <c r="F237"/>
  <c r="G237"/>
  <c r="F226"/>
  <c r="G226"/>
  <c r="F231"/>
  <c r="G231"/>
  <c r="F233"/>
  <c r="G233"/>
  <c r="F236"/>
  <c r="G236"/>
  <c r="F244"/>
  <c r="G244"/>
  <c r="E265"/>
  <c r="E248"/>
  <c r="E276"/>
  <c r="E272"/>
  <c r="F220"/>
  <c r="G220"/>
  <c r="F234"/>
  <c r="G234"/>
  <c r="E175"/>
  <c r="E172" s="1"/>
  <c r="E98"/>
  <c r="E94"/>
  <c r="E77"/>
  <c r="E76" s="1"/>
  <c r="E42"/>
  <c r="E28"/>
  <c r="E18"/>
  <c r="E107"/>
  <c r="D35"/>
  <c r="G35" s="1"/>
  <c r="G149"/>
  <c r="E190" l="1"/>
  <c r="E65"/>
  <c r="E271"/>
  <c r="E93"/>
  <c r="F201"/>
  <c r="D201"/>
  <c r="G201" s="1"/>
  <c r="E259" l="1"/>
  <c r="E10"/>
  <c r="E258" s="1"/>
  <c r="D114"/>
  <c r="G114" s="1"/>
  <c r="D70"/>
  <c r="F70" l="1"/>
  <c r="G70"/>
  <c r="G131"/>
  <c r="D158"/>
  <c r="F149"/>
  <c r="G137"/>
  <c r="D134"/>
  <c r="D188"/>
  <c r="D127"/>
  <c r="D189"/>
  <c r="D171"/>
  <c r="D106"/>
  <c r="D82"/>
  <c r="D80"/>
  <c r="D92"/>
  <c r="D25"/>
  <c r="D21"/>
  <c r="D120"/>
  <c r="G120" s="1"/>
  <c r="D52"/>
  <c r="G52" s="1"/>
  <c r="D176" l="1"/>
  <c r="D156"/>
  <c r="D79"/>
  <c r="D78" s="1"/>
  <c r="G82"/>
  <c r="F82"/>
  <c r="F25"/>
  <c r="G25"/>
  <c r="F171"/>
  <c r="G171"/>
  <c r="F127"/>
  <c r="G127"/>
  <c r="G134"/>
  <c r="F21"/>
  <c r="G21"/>
  <c r="F92"/>
  <c r="G92"/>
  <c r="F80"/>
  <c r="G80"/>
  <c r="F106"/>
  <c r="F100" s="1"/>
  <c r="G106"/>
  <c r="F189"/>
  <c r="G189"/>
  <c r="F188"/>
  <c r="F176" s="1"/>
  <c r="G188"/>
  <c r="G158"/>
  <c r="G156"/>
  <c r="D51"/>
  <c r="G51" s="1"/>
  <c r="F52"/>
  <c r="F158"/>
  <c r="D119"/>
  <c r="F120"/>
  <c r="F134"/>
  <c r="G119" l="1"/>
  <c r="F156"/>
  <c r="F79"/>
  <c r="F78" s="1"/>
  <c r="D243"/>
  <c r="D229"/>
  <c r="D225"/>
  <c r="G225" s="1"/>
  <c r="F225"/>
  <c r="F196"/>
  <c r="D196"/>
  <c r="G196" s="1"/>
  <c r="F229" l="1"/>
  <c r="F228" s="1"/>
  <c r="F227" s="1"/>
  <c r="G229"/>
  <c r="F243"/>
  <c r="G243"/>
  <c r="D228"/>
  <c r="F209"/>
  <c r="D209"/>
  <c r="G209" s="1"/>
  <c r="D227" l="1"/>
  <c r="G227" s="1"/>
  <c r="G228"/>
  <c r="G79" l="1"/>
  <c r="F267"/>
  <c r="D267"/>
  <c r="G267" s="1"/>
  <c r="D251"/>
  <c r="G251" s="1"/>
  <c r="F251"/>
  <c r="D77" l="1"/>
  <c r="G78"/>
  <c r="G100"/>
  <c r="G77" l="1"/>
  <c r="D76"/>
  <c r="G76" s="1"/>
  <c r="G182"/>
  <c r="G185"/>
  <c r="D203"/>
  <c r="G203" s="1"/>
  <c r="G213"/>
  <c r="F199"/>
  <c r="D199"/>
  <c r="G199" s="1"/>
  <c r="G176" l="1"/>
  <c r="G179"/>
  <c r="D212"/>
  <c r="G212" s="1"/>
  <c r="F213"/>
  <c r="F212" s="1"/>
  <c r="F211" s="1"/>
  <c r="D99"/>
  <c r="D98" l="1"/>
  <c r="G98" s="1"/>
  <c r="G99"/>
  <c r="D155" l="1"/>
  <c r="G155" s="1"/>
  <c r="F249" l="1"/>
  <c r="F248" s="1"/>
  <c r="D250"/>
  <c r="F250" l="1"/>
  <c r="G250"/>
  <c r="D249"/>
  <c r="F207"/>
  <c r="D207"/>
  <c r="G207" s="1"/>
  <c r="F205"/>
  <c r="D205"/>
  <c r="G205" s="1"/>
  <c r="F203"/>
  <c r="F198" s="1"/>
  <c r="D248" l="1"/>
  <c r="G248" s="1"/>
  <c r="G249"/>
  <c r="F26"/>
  <c r="D26"/>
  <c r="G26" s="1"/>
  <c r="F24"/>
  <c r="D24"/>
  <c r="G24" s="1"/>
  <c r="F22"/>
  <c r="F20"/>
  <c r="D20"/>
  <c r="G20" s="1"/>
  <c r="D19" l="1"/>
  <c r="D18" l="1"/>
  <c r="G18" s="1"/>
  <c r="G19"/>
  <c r="F246"/>
  <c r="F245" s="1"/>
  <c r="D246"/>
  <c r="D245" l="1"/>
  <c r="G245" s="1"/>
  <c r="G246"/>
  <c r="F193"/>
  <c r="F192" s="1"/>
  <c r="D193"/>
  <c r="D192" l="1"/>
  <c r="G192" s="1"/>
  <c r="G193"/>
  <c r="F147"/>
  <c r="D147"/>
  <c r="G147" s="1"/>
  <c r="F126" l="1"/>
  <c r="D126"/>
  <c r="F123"/>
  <c r="G124"/>
  <c r="F32"/>
  <c r="D32"/>
  <c r="G32" s="1"/>
  <c r="G126" l="1"/>
  <c r="D239"/>
  <c r="G239" s="1"/>
  <c r="F239"/>
  <c r="F99"/>
  <c r="D60"/>
  <c r="F60"/>
  <c r="F57" s="1"/>
  <c r="D57" l="1"/>
  <c r="G57" s="1"/>
  <c r="G60"/>
  <c r="F278"/>
  <c r="F277" s="1"/>
  <c r="F276" s="1"/>
  <c r="D278"/>
  <c r="F274"/>
  <c r="F273" s="1"/>
  <c r="F272" s="1"/>
  <c r="D274"/>
  <c r="G274" s="1"/>
  <c r="F269"/>
  <c r="F266" s="1"/>
  <c r="D269"/>
  <c r="F263"/>
  <c r="D263"/>
  <c r="G263" s="1"/>
  <c r="F261"/>
  <c r="F260" s="1"/>
  <c r="D261"/>
  <c r="G261" s="1"/>
  <c r="F242"/>
  <c r="F241" s="1"/>
  <c r="D242"/>
  <c r="D211"/>
  <c r="F175"/>
  <c r="F172" s="1"/>
  <c r="D175"/>
  <c r="D172" s="1"/>
  <c r="F155"/>
  <c r="F153"/>
  <c r="D153"/>
  <c r="G153" s="1"/>
  <c r="F143"/>
  <c r="D143"/>
  <c r="G143" s="1"/>
  <c r="F141"/>
  <c r="F140" s="1"/>
  <c r="D141"/>
  <c r="D140" s="1"/>
  <c r="F137"/>
  <c r="F133"/>
  <c r="F128" s="1"/>
  <c r="D133"/>
  <c r="F119"/>
  <c r="F116"/>
  <c r="D116"/>
  <c r="F114"/>
  <c r="F109"/>
  <c r="F108" s="1"/>
  <c r="F98"/>
  <c r="F96"/>
  <c r="F95" s="1"/>
  <c r="F94" s="1"/>
  <c r="D96"/>
  <c r="F91"/>
  <c r="F90" s="1"/>
  <c r="D91"/>
  <c r="F87"/>
  <c r="F84" s="1"/>
  <c r="D87"/>
  <c r="F77"/>
  <c r="F76" s="1"/>
  <c r="F74"/>
  <c r="F73" s="1"/>
  <c r="D74"/>
  <c r="F71"/>
  <c r="D71"/>
  <c r="G71" s="1"/>
  <c r="F69"/>
  <c r="D69"/>
  <c r="F67"/>
  <c r="G67"/>
  <c r="F55"/>
  <c r="F53" s="1"/>
  <c r="D55"/>
  <c r="F51"/>
  <c r="F48"/>
  <c r="D48"/>
  <c r="G48" s="1"/>
  <c r="F46"/>
  <c r="D46"/>
  <c r="G46" s="1"/>
  <c r="F43"/>
  <c r="D43"/>
  <c r="G43" s="1"/>
  <c r="F40"/>
  <c r="D40"/>
  <c r="G40" s="1"/>
  <c r="F38"/>
  <c r="D38"/>
  <c r="G38" s="1"/>
  <c r="F35"/>
  <c r="F30"/>
  <c r="F29" s="1"/>
  <c r="D30"/>
  <c r="F19"/>
  <c r="F18" s="1"/>
  <c r="D11"/>
  <c r="G11" s="1"/>
  <c r="F118" l="1"/>
  <c r="G133"/>
  <c r="D128"/>
  <c r="G69"/>
  <c r="D66"/>
  <c r="D84"/>
  <c r="G84" s="1"/>
  <c r="G87"/>
  <c r="D90"/>
  <c r="G90" s="1"/>
  <c r="G91"/>
  <c r="D29"/>
  <c r="G29" s="1"/>
  <c r="G30"/>
  <c r="D53"/>
  <c r="G55"/>
  <c r="D73"/>
  <c r="G73" s="1"/>
  <c r="G74"/>
  <c r="D113"/>
  <c r="G113" s="1"/>
  <c r="G116"/>
  <c r="G140"/>
  <c r="G141"/>
  <c r="D95"/>
  <c r="G96"/>
  <c r="G123"/>
  <c r="D198"/>
  <c r="G198" s="1"/>
  <c r="G211"/>
  <c r="D241"/>
  <c r="G241" s="1"/>
  <c r="G242"/>
  <c r="D266"/>
  <c r="G269"/>
  <c r="D273"/>
  <c r="D277"/>
  <c r="G278"/>
  <c r="G172"/>
  <c r="G175"/>
  <c r="D83"/>
  <c r="G83" s="1"/>
  <c r="D260"/>
  <c r="G260" s="1"/>
  <c r="D45"/>
  <c r="F265"/>
  <c r="F271"/>
  <c r="F224"/>
  <c r="F191" s="1"/>
  <c r="F190" s="1"/>
  <c r="D224"/>
  <c r="G224" s="1"/>
  <c r="F113"/>
  <c r="F107" s="1"/>
  <c r="F93"/>
  <c r="F66"/>
  <c r="F65" s="1"/>
  <c r="F50"/>
  <c r="F45"/>
  <c r="F42" s="1"/>
  <c r="F28"/>
  <c r="F83"/>
  <c r="D28" l="1"/>
  <c r="G28" s="1"/>
  <c r="G128"/>
  <c r="D118"/>
  <c r="D107"/>
  <c r="G107" s="1"/>
  <c r="D65"/>
  <c r="G118"/>
  <c r="D42"/>
  <c r="G42" s="1"/>
  <c r="G45"/>
  <c r="D276"/>
  <c r="G277"/>
  <c r="D272"/>
  <c r="G272" s="1"/>
  <c r="G273"/>
  <c r="D265"/>
  <c r="G265" s="1"/>
  <c r="G266"/>
  <c r="D94"/>
  <c r="G95"/>
  <c r="D50"/>
  <c r="G50" s="1"/>
  <c r="G53"/>
  <c r="G65"/>
  <c r="G66"/>
  <c r="D191"/>
  <c r="F10"/>
  <c r="F258" s="1"/>
  <c r="D190" l="1"/>
  <c r="G190" s="1"/>
  <c r="G191"/>
  <c r="G94"/>
  <c r="D93"/>
  <c r="G276"/>
  <c r="D271"/>
  <c r="G271" l="1"/>
  <c r="D259"/>
  <c r="G259" s="1"/>
  <c r="G93"/>
  <c r="D10"/>
  <c r="G10" l="1"/>
  <c r="D258"/>
  <c r="G258" s="1"/>
</calcChain>
</file>

<file path=xl/sharedStrings.xml><?xml version="1.0" encoding="utf-8"?>
<sst xmlns="http://schemas.openxmlformats.org/spreadsheetml/2006/main" count="821" uniqueCount="485">
  <si>
    <t>рублей</t>
  </si>
  <si>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</si>
  <si>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</si>
  <si>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</si>
  <si>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</si>
  <si>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</si>
  <si>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</si>
  <si>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</si>
  <si>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</si>
  <si>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</si>
  <si>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</si>
  <si>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</si>
  <si>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</si>
  <si>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</si>
  <si>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</si>
  <si>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</si>
  <si>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</si>
  <si>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</si>
  <si>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</si>
  <si>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</si>
  <si>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</si>
  <si>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</si>
  <si>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</si>
  <si>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</si>
  <si>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</si>
  <si>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</si>
  <si>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</si>
  <si>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</si>
  <si>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</si>
  <si>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</si>
  <si>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</si>
  <si>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</si>
  <si>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</si>
  <si>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</si>
  <si>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</si>
  <si>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</si>
  <si>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</si>
  <si>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</si>
  <si>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</si>
  <si>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</si>
  <si>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</si>
  <si>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</si>
  <si>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</si>
  <si>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</si>
  <si>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</si>
  <si>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</si>
  <si>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</si>
  <si>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</si>
  <si>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</si>
  <si>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</si>
  <si>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</si>
  <si>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</si>
  <si>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</si>
  <si>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</si>
  <si>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</si>
  <si>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</si>
  <si>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</si>
  <si>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</si>
  <si>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</si>
  <si>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</si>
  <si>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</si>
  <si>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</si>
  <si>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</si>
  <si>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</si>
  <si>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</si>
  <si>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</si>
  <si>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</si>
  <si>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</si>
  <si>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</si>
  <si>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</si>
  <si>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</si>
  <si>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</si>
  <si>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</si>
  <si>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</si>
  <si>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</si>
  <si>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</si>
  <si>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</si>
  <si>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</si>
  <si>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</si>
  <si>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</si>
  <si>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</si>
  <si>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</si>
  <si>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</si>
  <si>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</si>
  <si>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</si>
  <si>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</si>
  <si>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</si>
  <si>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</si>
  <si>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</si>
  <si>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</si>
  <si>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</si>
  <si>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</si>
  <si>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</si>
  <si>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</si>
  <si>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</si>
  <si>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</si>
  <si>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</si>
  <si>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</si>
  <si>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</si>
  <si>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</si>
  <si>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</si>
  <si>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</si>
  <si>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</si>
  <si>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</si>
  <si>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</si>
  <si>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</si>
  <si>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</si>
  <si>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</si>
  <si>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</si>
  <si>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</si>
  <si>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</si>
  <si>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</si>
  <si>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</si>
  <si>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</si>
  <si>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</si>
  <si>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</si>
  <si>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</si>
  <si>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</si>
  <si>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</si>
  <si>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</si>
  <si>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</si>
  <si>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</si>
  <si>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</si>
  <si>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</si>
  <si>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</si>
  <si>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</si>
  <si>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</si>
  <si>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</si>
  <si>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</si>
  <si>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</si>
  <si>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</si>
  <si>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</si>
  <si>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</si>
  <si>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</si>
  <si>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</si>
  <si>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</si>
  <si>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</si>
  <si>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</si>
  <si>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</si>
  <si>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</si>
  <si>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</si>
  <si>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</si>
  <si>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</si>
  <si>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</si>
  <si>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</si>
  <si>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</si>
  <si>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</si>
  <si>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</si>
  <si>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</si>
  <si>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</si>
  <si>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</si>
  <si>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</si>
  <si>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</si>
  <si>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</si>
  <si>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</si>
  <si>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</si>
  <si>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</si>
  <si>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</si>
  <si>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</si>
  <si>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</si>
  <si>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</si>
  <si>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</si>
  <si>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</si>
  <si>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</si>
  <si>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</si>
  <si>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</si>
  <si>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</si>
  <si>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</si>
  <si>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</si>
  <si>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</si>
  <si>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</si>
  <si>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</si>
  <si>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</si>
  <si>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</si>
  <si>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</si>
  <si>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</si>
  <si>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Денежные взыскания (штрафы) за нарушение законодательства о налогах и сборах</t>
  </si>
  <si>
    <t>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</si>
  <si>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</si>
  <si>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1 16 03010 01 0000 140 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</si>
  <si>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</si>
  <si>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1 16 03030 01 0000 140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</si>
  <si>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</si>
  <si>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</si>
  <si>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</si>
  <si>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1 16 08010 01 0000 140</t>
  </si>
  <si>
    <t>141</t>
  </si>
  <si>
    <t>188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</si>
  <si>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</si>
  <si>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</si>
  <si>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912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</si>
  <si>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</si>
  <si>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1 16 25000 00 0000 140</t>
  </si>
  <si>
    <t>Денежные взыскания (штрафы) за нарушение законодательства в области охраны окружающей среды</t>
  </si>
  <si>
    <t>1 16 25050 01 0000 140</t>
  </si>
  <si>
    <t>Денежные взыскания (штрафы) за нарушение земельного законодательства</t>
  </si>
  <si>
    <t>1 16 25060 01 0000 140</t>
  </si>
  <si>
    <t>321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</si>
  <si>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</si>
  <si>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1 16 28000 01 0000 140</t>
  </si>
  <si>
    <t>Денежные взыскания (штрафы) за правонарушения в области дорожного движения</t>
  </si>
  <si>
    <t>1 16 30000 01 0000 140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</si>
  <si>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</t>
  </si>
  <si>
    <t>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</si>
  <si>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</si>
  <si>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 xml:space="preserve"> 1 16 30013 01 0000 140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</si>
  <si>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</si>
  <si>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</si>
  <si>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</si>
  <si>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</si>
  <si>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</si>
  <si>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076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</si>
  <si>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</si>
  <si>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1 16 37000 00 0000 140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</si>
  <si>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</si>
  <si>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</si>
  <si>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1 16 43000 01 0000 140</t>
  </si>
  <si>
    <t>177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</si>
  <si>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</si>
  <si>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</si>
  <si>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 </t>
  </si>
  <si>
    <t>1 16 51020 02 0000 140</t>
  </si>
  <si>
    <t>Прочие поступления от денежных взысканий (штрафов) и иных сумм в возмещение ущерба</t>
  </si>
  <si>
    <t>1 16 90000 00 0000 140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</si>
  <si>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</si>
  <si>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1 16 90040 04 0000 140 </t>
  </si>
  <si>
    <t>180</t>
  </si>
  <si>
    <t>415</t>
  </si>
  <si>
    <t>809</t>
  </si>
  <si>
    <t>840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</si>
  <si>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</si>
  <si>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</si>
  <si>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</si>
  <si>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</si>
  <si>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</si>
  <si>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</si>
  <si>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</si>
  <si>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</si>
  <si>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</si>
  <si>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</si>
  <si>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</si>
  <si>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</si>
  <si>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</si>
  <si>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</si>
  <si>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</si>
  <si>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</si>
  <si>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Прочие субсидии бюджетам городских округов (субсидии местным бюджетам на софинансирование мероприятий по капитальному ремонту образовательных организаций Иркутской области)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</si>
  <si>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</si>
  <si>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</si>
  <si>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</si>
  <si>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</si>
  <si>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</si>
  <si>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</si>
  <si>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</si>
  <si>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</si>
  <si>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</si>
  <si>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отдельных областных государственных полномочий  в сфере труда</t>
  </si>
  <si>
    <t>Осуществление 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</si>
  <si>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</si>
  <si>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</si>
  <si>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</si>
  <si>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</si>
  <si>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</si>
  <si>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</si>
  <si>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</si>
  <si>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</si>
  <si>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</si>
  <si>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</si>
  <si>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</si>
  <si>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</si>
  <si>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</si>
  <si>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>Кредиты  кредитных организаций  в  валюте  Российской  Федерации</t>
  </si>
  <si>
    <t xml:space="preserve"> 01 02 00 00 00 0000 000</t>
  </si>
  <si>
    <t>Получение  кредитов  от  кредитных  организаций  в  валюте  Российской  Федерации</t>
  </si>
  <si>
    <t xml:space="preserve">  01 02 00 00 00 0000 700</t>
  </si>
  <si>
    <t xml:space="preserve">Получение  кредитов   от кредитных  организаций   бюджетами  городских  округов  в  валюте  Российской  Федерации </t>
  </si>
  <si>
    <t xml:space="preserve"> 01 02 00 00 04 0000 710</t>
  </si>
  <si>
    <t>Погашение  кредитов, предоставленных  кредитными  организациями в  валюте  Российской  Федерации</t>
  </si>
  <si>
    <t xml:space="preserve"> 01 02 00 00 00 0000 800</t>
  </si>
  <si>
    <t>Погашение бюджетами городских округов  кредитов от  кредитных  организаций  в  валюте   Российской  Федерации</t>
  </si>
  <si>
    <t xml:space="preserve"> 01 02 00 00 04 0000 810</t>
  </si>
  <si>
    <t>Бюджетные кредиты от других бюджетов бюджетной системы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</si>
  <si>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</si>
  <si>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 в валюте Российской Федерации</t>
  </si>
  <si>
    <t xml:space="preserve"> 01 03 01 00 00 0000 000</t>
  </si>
  <si>
    <t>Погашение  бюджетных   кредитов, полученных  от  других бюджетов бюджетной системы Российской  Федерации в  валюте  Российской  Федерации</t>
  </si>
  <si>
    <t xml:space="preserve"> 01 03 01 00 00 0000 800</t>
  </si>
  <si>
    <t>Погашение  бюджетами  городских  округов кредитов  от  других бюджетов бюджетной системы Российской  Федерации   в  валюте  Российской  Федерации</t>
  </si>
  <si>
    <t xml:space="preserve"> 01 03 01 00 04 0000 810</t>
  </si>
  <si>
    <t>Изменение  остатков средств  на  счетах  по  учёту   средств  бюджетов</t>
  </si>
  <si>
    <t xml:space="preserve"> 01 05 00 00 00 0000 000</t>
  </si>
  <si>
    <t>Увеличение остатков  средств  бюджетов</t>
  </si>
  <si>
    <t xml:space="preserve"> 01 05 00 00 00 0000 500</t>
  </si>
  <si>
    <t>Увеличение  прочих остатков  средств  бюджетов</t>
  </si>
  <si>
    <t xml:space="preserve"> 01 05 02 00 00 0000 500</t>
  </si>
  <si>
    <t xml:space="preserve">Увеличение  прочих остатков  денежных средств  бюджетов </t>
  </si>
  <si>
    <t xml:space="preserve"> 01 05 02 01 00 0000 510</t>
  </si>
  <si>
    <t>Увеличение  прочих остатков  денежных средств   бюджетов городских округов</t>
  </si>
  <si>
    <t xml:space="preserve"> 01 05 02 01 04 0000 510</t>
  </si>
  <si>
    <t>Уменьшение остатков  средств  бюджетов</t>
  </si>
  <si>
    <t xml:space="preserve"> 01 05 00 00 00 0000 600</t>
  </si>
  <si>
    <t>Уменьшение прочих остатков средств  бюджетов</t>
  </si>
  <si>
    <t xml:space="preserve"> 01 05 02 00 00 0000 600</t>
  </si>
  <si>
    <t xml:space="preserve"> 01 05 02 01 00 0000 610</t>
  </si>
  <si>
    <t>Уменьшение прочих остатков  денежных средств  бюджетов городских округов</t>
  </si>
  <si>
    <t xml:space="preserve"> 01 05 02 01 04 0000 610</t>
  </si>
  <si>
    <t>Прочие поступления от денежных взысканий (штрафов) и иных сумм в возмещение ущерба, зачисляемые в бюджеты городских округов (штрафы за пользование денежными средствами)</t>
  </si>
  <si>
    <t xml:space="preserve">1 16 90040 04 0035 140 </t>
  </si>
  <si>
    <t>Прочие поступления от денежных взысканий (штрафов) и иных сумм в возмещение ущерба, зачисляемые в бюджеты городских округов (неосновательное обогащение)</t>
  </si>
  <si>
    <t xml:space="preserve">1 16 90040 04 0038 140 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</si>
  <si>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</si>
  <si>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</si>
  <si>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</si>
  <si>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</si>
  <si>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</si>
  <si>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</si>
  <si>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</si>
  <si>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</si>
  <si>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</si>
  <si>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</si>
  <si>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</si>
  <si>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</si>
  <si>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 xml:space="preserve"> 202 35120 04 0000 150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</si>
  <si>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</si>
  <si>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</si>
  <si>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</si>
  <si>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</si>
  <si>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 xml:space="preserve"> 1 16 33040 04 0000 140</t>
  </si>
  <si>
    <t>1 17 05040 04 1021 180</t>
  </si>
  <si>
    <t>1 17 05040 04 1022 180</t>
  </si>
  <si>
    <t>Дотации бюджетам городских округов на выравнивание бюджетной обеспеченности (из фонда финансовой поддержки муниципальных районов (городских округов) Иркутской области</t>
  </si>
  <si>
    <t>Дотации бюджетам городских округов на выравнивание бюджетной обеспеченности (из фонда финансовой поддержки поселений Иркутской области)</t>
  </si>
  <si>
    <t>2 02 15001 04 0092 150</t>
  </si>
  <si>
    <t>2 02 15001 04 0091 150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</si>
  <si>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</si>
  <si>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</si>
  <si>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</si>
  <si>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</si>
  <si>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</si>
  <si>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</si>
  <si>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</si>
  <si>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Прочие неналоговые доходы бюджетов городских округов (плата за  размещение нестационарных торговых объектов) (сумма платежа)</t>
  </si>
  <si>
    <t>Прочие неналоговые доходы бюджетов городских округов (плата за размещение объектов) (сумма платежа)</t>
  </si>
  <si>
    <t>Прочие неналоговые доходы бюджетов городских округов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</si>
  <si>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1 17 05040 04 1019 180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</si>
  <si>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</si>
  <si>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</si>
  <si>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</si>
  <si>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</si>
  <si>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</si>
  <si>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</si>
  <si>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</si>
  <si>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</si>
  <si>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1 13 02994 04 0000 130</t>
  </si>
  <si>
    <t>1 11 09044 04 0000 120</t>
  </si>
  <si>
    <t>1 11 09044 04 0064 120</t>
  </si>
  <si>
    <t>1 16 37030 04 0000 140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</si>
  <si>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</si>
  <si>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</si>
  <si>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</si>
  <si>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</si>
  <si>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>2 19 60010 04 0000 150</t>
  </si>
  <si>
    <t>2 02 39999 04 0041 150</t>
  </si>
  <si>
    <t>2 02 25466 04 0000 150</t>
  </si>
  <si>
    <t>902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</si>
  <si>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</si>
  <si>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906</t>
  </si>
  <si>
    <t>2 02 25497 04 0000 150</t>
  </si>
  <si>
    <t>2 02 25497 00 0000 150</t>
  </si>
  <si>
    <t>2 02 25466 00 0000 150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</si>
  <si>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</si>
  <si>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</si>
  <si>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2 02 25519 00 0000 150</t>
  </si>
  <si>
    <t>Прочие субсидии бюджетам городских округов (субсидии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</si>
  <si>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</si>
  <si>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на реализацию мероприятий перечня проектов народных инициатив)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</si>
  <si>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</si>
  <si>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</si>
  <si>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</si>
  <si>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</si>
  <si>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</si>
  <si>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</si>
  <si>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</si>
  <si>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</si>
  <si>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 округов  от 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</si>
  <si>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</si>
  <si>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</si>
  <si>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</si>
  <si>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 xml:space="preserve">                                                     1 03 02251 01 0000 110
</t>
  </si>
  <si>
    <t xml:space="preserve">                                                            1 03 02261 01 0000 110
</t>
  </si>
  <si>
    <t>Прочие доходы от  компенсации затрат бюджетов городских округов</t>
  </si>
  <si>
    <t xml:space="preserve">Прочие неналоговые доходы бюджетов городских округов 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</si>
  <si>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</si>
  <si>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 (суммы платежа)</t>
  </si>
  <si>
    <t>1 17 05040 04 0019 180</t>
  </si>
  <si>
    <t>1 17 05040 04 0021 180</t>
  </si>
  <si>
    <t>1 17 05040 04 0022 180</t>
  </si>
  <si>
    <t xml:space="preserve">Государственная пошлина по делам, рассматриваемым в судах общей юрисдикции, мировыми судьями </t>
  </si>
  <si>
    <t>Прочие субсидии бюджетам городских округов (субсидии на реализацию мероприятий, направленных на улучшение показателей планирования и исполнения бюджетов муниципальных образований Иркутской области)</t>
  </si>
  <si>
    <t>Прочие субсидии бюджетам городских округов (субсидии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</si>
  <si>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2 02 25519 04 0000 150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</si>
  <si>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</si>
  <si>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</si>
  <si>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</si>
  <si>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софинансирование мероприятий по капитальному ремонту объектов муниципальной собственности в сфере культуры)</t>
  </si>
  <si>
    <t>2 02 20077 04 0000 150</t>
  </si>
  <si>
    <t>2 02 20077 00 0000 150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</si>
  <si>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(плата за пользование жилым помещением по договорам социального найма) (пени и проценты)</t>
  </si>
  <si>
    <t>1 11 09 044 04 2064 120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</si>
  <si>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</si>
  <si>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</si>
  <si>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</si>
  <si>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</si>
  <si>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</si>
  <si>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</si>
  <si>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2 02 25555 04 0000 150</t>
  </si>
  <si>
    <t>2 02 25555 00 0000 150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</si>
  <si>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</si>
  <si>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</si>
  <si>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</si>
  <si>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бюджетам на поддержку мер по обеспечению сбалансированности бюджетов</t>
  </si>
  <si>
    <t>Прочие субсидии бюджетам городских округов (субсидии местным бюджетам в целях софинансирования расходных обязательств муниципальных образований Иркутской области по созданию мест (площадок) накопления твердых коммунальных отходов на 2019 год)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</si>
  <si>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</si>
  <si>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</si>
  <si>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</si>
  <si>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</si>
  <si>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</si>
  <si>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1 14 02043 04 0000 440</t>
  </si>
  <si>
    <t>322</t>
  </si>
  <si>
    <t>831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</si>
  <si>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</si>
  <si>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2 02 25081 04 0000 150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</si>
  <si>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</si>
  <si>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2 02 25081 00 0000 150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</si>
  <si>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</si>
  <si>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</si>
  <si>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</si>
  <si>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Налоги на имущество</t>
  </si>
  <si>
    <t>Налог на имущество предприятий</t>
  </si>
  <si>
    <t>1 09 04000 00 0000 110</t>
  </si>
  <si>
    <t>1 09 04010 02 0000 110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</si>
  <si>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</si>
  <si>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1 16 06000 01 0000 140</t>
  </si>
  <si>
    <t>1 16 25080 00 0000 140</t>
  </si>
  <si>
    <t>Денежные взыскания (штрафы) за нарушение водного законодательства</t>
  </si>
  <si>
    <t>1 16 25084 04 0000 140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</si>
  <si>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</si>
  <si>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>161</t>
  </si>
  <si>
    <t>План</t>
  </si>
  <si>
    <t>Исполнение</t>
  </si>
  <si>
    <t>+, - исполнение</t>
  </si>
  <si>
    <t>% исполнения</t>
  </si>
  <si>
    <t>Отчет об исполнении по доходам и источникам финансирования дефицита бюджета города за 2019 год</t>
  </si>
  <si>
    <t xml:space="preserve">1 09 07030 00 0000 110
</t>
  </si>
  <si>
    <t>1 16 25020 01 0000 140</t>
  </si>
  <si>
    <t>Невыясненные поступления</t>
  </si>
  <si>
    <t>Невыясненные поступления, зачисляемые в бюджеты городских округов</t>
  </si>
  <si>
    <t>1 17 05000 04 0000 180</t>
  </si>
  <si>
    <t>1 17 05040 04 2119 180</t>
  </si>
  <si>
    <t>1 17 05040 04 2121 180</t>
  </si>
  <si>
    <t>1 17 05040 04 2122 180</t>
  </si>
  <si>
    <t>Прочие неналоговые доходы бюджетов городских округов  (плата за размещение нестационарных торговых объектов) (пени по соответствующему платежу)</t>
  </si>
  <si>
    <t>Прочие неналоговые доходы бюджетов городских округов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</si>
  <si>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Прочие неналоговые доходы бюджетов городских округов (плата за размещение объектов) (пени по соответствующему платежу)</t>
  </si>
  <si>
    <t xml:space="preserve">0 09 07000 00 0000 110
</t>
  </si>
  <si>
    <t>0 11 09000 00 0000 120</t>
  </si>
  <si>
    <t>2 19 25064 04 0000 150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</si>
  <si>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</si>
  <si>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</si>
  <si>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</si>
  <si>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</si>
  <si>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</si>
  <si>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1 09 07032 04 0000 110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</si>
  <si>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</si>
  <si>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1 16 18000 00 0000 140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</si>
  <si>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</si>
  <si>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</si>
  <si>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</si>
  <si>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 xml:space="preserve">                        Приложение № 1</t>
  </si>
  <si>
    <t xml:space="preserve">                        УТВЕРЖДЕН</t>
  </si>
  <si>
    <t xml:space="preserve">                        решением Городской Думы</t>
  </si>
  <si>
    <t xml:space="preserve">                       города Усть-Илимска</t>
  </si>
  <si>
    <t xml:space="preserve">                        от  00.00.2020 №</t>
  </si>
  <si>
    <t>Председатель Городской Думы</t>
  </si>
  <si>
    <t>А.П.Чихирьков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</si>
</sst>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0.0"/>
    <numFmt numFmtId="168" formatCode="_-* #,##0_р_._-;\-* #,##0_р_._-;_-* &quot;-&quot;??_р_._-;_-@_-"/>
    <numFmt numFmtId="169" formatCode="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8" fillId="0" borderId="4">
      <alignment horizontal="left" wrapText="1" indent="2"/>
    </xf>
    <xf numFmtId="49" fontId="8" fillId="0" borderId="5">
      <alignment horizontal="center" shrinkToFit="1"/>
    </xf>
    <xf numFmtId="49" fontId="12" fillId="0" borderId="3">
      <alignment horizontal="center"/>
    </xf>
    <xf numFmtId="0" fontId="8" fillId="0" borderId="2">
      <alignment horizontal="left" wrapText="1" indent="2"/>
    </xf>
    <xf numFmtId="0" fontId="19" fillId="0" borderId="0"/>
  </cellStyleXfs>
  <cellXfs count="124">
    <xf numFmtId="0" fontId="0" fillId="0" borderId="0" xfId="0"/>
    <xf numFmtId="0" fontId="3" fillId="2" borderId="0" xfId="0" applyFont="1" applyFill="1" applyAlignment="1">
      <alignment horizontal="center"/>
    </xf>
    <xf numFmtId="9" fontId="2" fillId="2" borderId="0" xfId="3" applyFont="1" applyFill="1" applyAlignment="1">
      <alignment vertical="top" wrapText="1"/>
    </xf>
    <xf numFmtId="0" fontId="3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/>
    </xf>
    <xf numFmtId="49" fontId="3" fillId="2" borderId="1" xfId="4" applyNumberFormat="1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6" fillId="2" borderId="0" xfId="0" applyFont="1" applyFill="1"/>
    <xf numFmtId="0" fontId="2" fillId="2" borderId="0" xfId="0" applyFont="1" applyFill="1"/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1" xfId="5" applyNumberFormat="1" applyFont="1" applyFill="1" applyBorder="1" applyAlignment="1" applyProtection="1">
      <alignment horizontal="left"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indent="3"/>
    </xf>
    <xf numFmtId="4" fontId="3" fillId="2" borderId="1" xfId="8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9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7" applyFont="1" applyFill="1"/>
    <xf numFmtId="4" fontId="3" fillId="2" borderId="0" xfId="7" applyNumberFormat="1" applyFont="1" applyFill="1"/>
    <xf numFmtId="0" fontId="4" fillId="2" borderId="0" xfId="7" applyFont="1" applyFill="1" applyAlignment="1">
      <alignment horizontal="center" wrapText="1"/>
    </xf>
    <xf numFmtId="0" fontId="10" fillId="2" borderId="0" xfId="0" applyFont="1" applyFill="1" applyBorder="1"/>
    <xf numFmtId="0" fontId="4" fillId="2" borderId="0" xfId="7" applyFont="1" applyFill="1" applyAlignment="1">
      <alignment horizontal="center"/>
    </xf>
    <xf numFmtId="0" fontId="4" fillId="2" borderId="0" xfId="0" applyFont="1" applyFill="1" applyBorder="1"/>
    <xf numFmtId="4" fontId="4" fillId="2" borderId="0" xfId="0" applyNumberFormat="1" applyFont="1" applyFill="1" applyBorder="1"/>
    <xf numFmtId="0" fontId="11" fillId="2" borderId="0" xfId="0" applyFont="1" applyFill="1" applyBorder="1"/>
    <xf numFmtId="0" fontId="6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2" fontId="3" fillId="2" borderId="1" xfId="0" applyNumberFormat="1" applyFont="1" applyFill="1" applyBorder="1" applyAlignment="1">
      <alignment horizontal="left" vertical="center" indent="3"/>
    </xf>
    <xf numFmtId="0" fontId="3" fillId="2" borderId="1" xfId="4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locked="0"/>
    </xf>
    <xf numFmtId="0" fontId="3" fillId="2" borderId="1" xfId="4" applyNumberFormat="1" applyFont="1" applyFill="1" applyBorder="1" applyAlignment="1">
      <alignment horizontal="left" vertical="center" wrapText="1" shrinkToFit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4" fillId="2" borderId="0" xfId="5" applyNumberFormat="1" applyFont="1" applyFill="1" applyAlignment="1">
      <alignment horizontal="left" wrapText="1"/>
    </xf>
    <xf numFmtId="0" fontId="2" fillId="2" borderId="0" xfId="0" applyNumberFormat="1" applyFont="1" applyFill="1" applyBorder="1" applyAlignment="1">
      <alignment horizontal="left" vertical="center" wrapText="1"/>
    </xf>
    <xf numFmtId="4" fontId="2" fillId="2" borderId="0" xfId="0" applyNumberFormat="1" applyFont="1" applyFill="1"/>
    <xf numFmtId="0" fontId="2" fillId="2" borderId="0" xfId="0" applyFont="1" applyFill="1" applyBorder="1" applyAlignment="1">
      <alignment horizontal="center"/>
    </xf>
    <xf numFmtId="0" fontId="4" fillId="2" borderId="0" xfId="5" applyNumberFormat="1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/>
    </xf>
    <xf numFmtId="0" fontId="3" fillId="2" borderId="1" xfId="11" applyNumberFormat="1" applyFont="1" applyFill="1" applyBorder="1" applyAlignment="1" applyProtection="1">
      <alignment horizontal="left" vertical="center" wrapText="1"/>
    </xf>
    <xf numFmtId="49" fontId="3" fillId="2" borderId="1" xfId="12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9" applyNumberFormat="1" applyFont="1" applyFill="1" applyBorder="1" applyAlignment="1" applyProtection="1">
      <alignment horizontal="left" wrapText="1"/>
    </xf>
    <xf numFmtId="49" fontId="3" fillId="2" borderId="1" xfId="1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0" xfId="4" applyNumberFormat="1" applyFont="1" applyFill="1" applyBorder="1" applyAlignment="1">
      <alignment horizontal="left" vertical="center" wrapText="1"/>
    </xf>
    <xf numFmtId="49" fontId="3" fillId="2" borderId="0" xfId="4" applyNumberFormat="1" applyFont="1" applyFill="1" applyBorder="1" applyAlignment="1">
      <alignment horizontal="center" vertical="center"/>
    </xf>
    <xf numFmtId="0" fontId="3" fillId="2" borderId="0" xfId="4" applyFont="1" applyFill="1" applyBorder="1" applyAlignment="1">
      <alignment horizontal="center" vertical="center"/>
    </xf>
    <xf numFmtId="4" fontId="3" fillId="2" borderId="0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8" applyFont="1" applyFill="1" applyBorder="1" applyAlignment="1">
      <alignment horizontal="left" vertical="center" wrapText="1"/>
    </xf>
    <xf numFmtId="3" fontId="3" fillId="2" borderId="1" xfId="4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49" fontId="3" fillId="2" borderId="6" xfId="6" applyNumberFormat="1" applyFont="1" applyFill="1" applyBorder="1" applyAlignment="1" applyProtection="1">
      <alignment horizontal="center" vertical="center"/>
      <protection hidden="1"/>
    </xf>
    <xf numFmtId="49" fontId="3" fillId="2" borderId="8" xfId="6" applyNumberFormat="1" applyFont="1" applyFill="1" applyBorder="1" applyAlignment="1" applyProtection="1">
      <alignment horizontal="center" vertical="center"/>
      <protection hidden="1"/>
    </xf>
    <xf numFmtId="0" fontId="13" fillId="2" borderId="1" xfId="14" applyNumberFormat="1" applyFont="1" applyFill="1" applyBorder="1" applyAlignment="1" applyProtection="1">
      <alignment wrapText="1"/>
    </xf>
    <xf numFmtId="0" fontId="6" fillId="2" borderId="0" xfId="0" applyFont="1" applyFill="1" applyBorder="1"/>
    <xf numFmtId="4" fontId="2" fillId="2" borderId="0" xfId="0" applyNumberFormat="1" applyFont="1" applyFill="1" applyBorder="1"/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center" indent="3"/>
    </xf>
    <xf numFmtId="4" fontId="3" fillId="2" borderId="0" xfId="0" applyNumberFormat="1" applyFont="1" applyFill="1" applyBorder="1"/>
    <xf numFmtId="167" fontId="3" fillId="2" borderId="1" xfId="1" applyNumberFormat="1" applyFont="1" applyFill="1" applyBorder="1" applyAlignment="1">
      <alignment horizontal="center" vertical="center" wrapText="1"/>
    </xf>
    <xf numFmtId="4" fontId="16" fillId="2" borderId="1" xfId="1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167" fontId="16" fillId="2" borderId="1" xfId="1" applyNumberFormat="1" applyFont="1" applyFill="1" applyBorder="1" applyAlignment="1">
      <alignment horizontal="center" vertical="center" wrapText="1"/>
    </xf>
    <xf numFmtId="0" fontId="16" fillId="2" borderId="0" xfId="0" applyFont="1" applyFill="1" applyBorder="1"/>
    <xf numFmtId="0" fontId="17" fillId="2" borderId="0" xfId="0" applyFont="1" applyFill="1" applyBorder="1" applyAlignment="1">
      <alignment horizontal="center"/>
    </xf>
    <xf numFmtId="0" fontId="16" fillId="2" borderId="1" xfId="4" applyNumberFormat="1" applyFont="1" applyFill="1" applyBorder="1" applyAlignment="1">
      <alignment horizontal="left" vertical="center" wrapText="1"/>
    </xf>
    <xf numFmtId="49" fontId="16" fillId="2" borderId="1" xfId="4" applyNumberFormat="1" applyFont="1" applyFill="1" applyBorder="1" applyAlignment="1">
      <alignment horizontal="center" vertical="center"/>
    </xf>
    <xf numFmtId="0" fontId="16" fillId="2" borderId="1" xfId="4" applyFont="1" applyFill="1" applyBorder="1" applyAlignment="1">
      <alignment horizontal="center" vertical="center"/>
    </xf>
    <xf numFmtId="0" fontId="15" fillId="2" borderId="0" xfId="0" applyFont="1" applyFill="1" applyBorder="1"/>
    <xf numFmtId="0" fontId="14" fillId="2" borderId="0" xfId="0" applyFont="1" applyFill="1" applyBorder="1"/>
    <xf numFmtId="0" fontId="18" fillId="2" borderId="1" xfId="4" applyNumberFormat="1" applyFont="1" applyFill="1" applyBorder="1" applyAlignment="1" applyProtection="1">
      <alignment horizontal="left" vertical="center" wrapText="1"/>
      <protection locked="0"/>
    </xf>
    <xf numFmtId="49" fontId="18" fillId="2" borderId="1" xfId="4" applyNumberFormat="1" applyFont="1" applyFill="1" applyBorder="1" applyAlignment="1" applyProtection="1">
      <alignment horizontal="center" vertical="center"/>
      <protection locked="0"/>
    </xf>
    <xf numFmtId="4" fontId="18" fillId="2" borderId="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 wrapText="1"/>
    </xf>
    <xf numFmtId="0" fontId="18" fillId="2" borderId="1" xfId="4" applyNumberFormat="1" applyFont="1" applyFill="1" applyBorder="1" applyAlignment="1">
      <alignment horizontal="left" vertical="center" wrapText="1"/>
    </xf>
    <xf numFmtId="0" fontId="18" fillId="2" borderId="1" xfId="4" applyFont="1" applyFill="1" applyBorder="1" applyAlignment="1">
      <alignment horizontal="center" wrapText="1"/>
    </xf>
    <xf numFmtId="0" fontId="18" fillId="2" borderId="1" xfId="4" applyFont="1" applyFill="1" applyBorder="1" applyAlignment="1">
      <alignment horizontal="center" vertical="center"/>
    </xf>
    <xf numFmtId="49" fontId="18" fillId="2" borderId="1" xfId="4" applyNumberFormat="1" applyFont="1" applyFill="1" applyBorder="1" applyAlignment="1">
      <alignment horizontal="center" vertical="center"/>
    </xf>
    <xf numFmtId="0" fontId="18" fillId="2" borderId="1" xfId="4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4" fillId="0" borderId="0" xfId="5" applyFont="1" applyFill="1"/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0" xfId="4" applyFont="1" applyFill="1" applyAlignment="1">
      <alignment horizontal="center" vertical="center" wrapText="1"/>
    </xf>
    <xf numFmtId="0" fontId="3" fillId="2" borderId="0" xfId="15" applyNumberFormat="1" applyFont="1" applyFill="1" applyAlignment="1" applyProtection="1">
      <alignment horizontal="left" vertical="center"/>
      <protection hidden="1"/>
    </xf>
    <xf numFmtId="168" fontId="3" fillId="2" borderId="0" xfId="1" applyNumberFormat="1" applyFont="1" applyFill="1" applyAlignment="1">
      <alignment horizontal="left" vertical="center"/>
    </xf>
    <xf numFmtId="169" fontId="3" fillId="2" borderId="0" xfId="7" applyNumberFormat="1" applyFont="1" applyFill="1" applyBorder="1" applyAlignment="1" applyProtection="1">
      <alignment horizontal="left" wrapText="1"/>
      <protection hidden="1"/>
    </xf>
    <xf numFmtId="0" fontId="4" fillId="2" borderId="0" xfId="5" applyFont="1" applyFill="1" applyAlignment="1">
      <alignment horizontal="center" vertical="center"/>
    </xf>
    <xf numFmtId="0" fontId="4" fillId="2" borderId="0" xfId="5" applyFont="1" applyFill="1" applyAlignment="1">
      <alignment horizontal="left"/>
    </xf>
    <xf numFmtId="0" fontId="4" fillId="2" borderId="0" xfId="5" applyFont="1" applyFill="1" applyAlignment="1">
      <alignment horizontal="center"/>
    </xf>
  </cellXfs>
  <cellStyles count="16">
    <cellStyle name="xl123" xfId="11"/>
    <cellStyle name="xl128" xfId="12"/>
    <cellStyle name="xl31" xfId="14"/>
    <cellStyle name="xl34" xfId="9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_tmp" xfId="7"/>
    <cellStyle name="Обычный_tmp_Бюджет_4" xfId="15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N299"/>
  <sheetViews>
    <sheetView tabSelected="1" workbookViewId="0">
      <pane ySplit="9" topLeftCell="A81" activePane="bottomLeft" state="frozen"/>
      <selection pane="bottomLeft" activeCell="A148" sqref="A148"/>
    </sheetView>
  </sheetViews>
  <sheetFormatPr defaultRowHeight="12.75"/>
  <cols>
    <col min="1" max="1" width="54.85546875" style="50" customWidth="1"/>
    <col min="2" max="2" width="7.7109375" style="44" customWidth="1"/>
    <col min="3" max="3" width="21.5703125" style="45" customWidth="1"/>
    <col min="4" max="4" width="15.7109375" style="3" customWidth="1"/>
    <col min="5" max="5" width="15.28515625" style="6" customWidth="1"/>
    <col min="6" max="6" width="13.85546875" style="3" customWidth="1"/>
    <col min="7" max="7" width="12.28515625" style="3" customWidth="1"/>
    <col min="8" max="8" width="17.7109375" style="31" customWidth="1"/>
    <col min="9" max="9" width="17.28515625" style="60" customWidth="1"/>
    <col min="10" max="10" width="14.42578125" style="31" customWidth="1"/>
    <col min="11" max="11" width="18.28515625" style="31" customWidth="1"/>
    <col min="12" max="12" width="17.28515625" style="31" customWidth="1"/>
    <col min="13" max="13" width="10" style="31" bestFit="1" customWidth="1"/>
    <col min="14" max="14" width="8.85546875" style="31"/>
    <col min="15" max="227" width="8.85546875" style="3"/>
    <col min="228" max="228" width="54.85546875" style="3" customWidth="1"/>
    <col min="229" max="229" width="7" style="3" customWidth="1"/>
    <col min="230" max="230" width="21.7109375" style="3" customWidth="1"/>
    <col min="231" max="231" width="16.28515625" style="3" customWidth="1"/>
    <col min="232" max="232" width="15.28515625" style="3" customWidth="1"/>
    <col min="233" max="233" width="15.5703125" style="3" customWidth="1"/>
    <col min="234" max="245" width="0" style="3" hidden="1" customWidth="1"/>
    <col min="246" max="483" width="8.85546875" style="3"/>
    <col min="484" max="484" width="54.85546875" style="3" customWidth="1"/>
    <col min="485" max="485" width="7" style="3" customWidth="1"/>
    <col min="486" max="486" width="21.7109375" style="3" customWidth="1"/>
    <col min="487" max="487" width="16.28515625" style="3" customWidth="1"/>
    <col min="488" max="488" width="15.28515625" style="3" customWidth="1"/>
    <col min="489" max="489" width="15.5703125" style="3" customWidth="1"/>
    <col min="490" max="501" width="0" style="3" hidden="1" customWidth="1"/>
    <col min="502" max="739" width="8.85546875" style="3"/>
    <col min="740" max="740" width="54.85546875" style="3" customWidth="1"/>
    <col min="741" max="741" width="7" style="3" customWidth="1"/>
    <col min="742" max="742" width="21.7109375" style="3" customWidth="1"/>
    <col min="743" max="743" width="16.28515625" style="3" customWidth="1"/>
    <col min="744" max="744" width="15.28515625" style="3" customWidth="1"/>
    <col min="745" max="745" width="15.5703125" style="3" customWidth="1"/>
    <col min="746" max="757" width="0" style="3" hidden="1" customWidth="1"/>
    <col min="758" max="995" width="8.85546875" style="3"/>
    <col min="996" max="996" width="11.7109375" style="3" customWidth="1"/>
    <col min="997" max="997" width="7" style="3" customWidth="1"/>
    <col min="998" max="998" width="21.7109375" style="3" customWidth="1"/>
    <col min="999" max="999" width="16.28515625" style="3" customWidth="1"/>
    <col min="1000" max="1000" width="15.28515625" style="3" customWidth="1"/>
    <col min="1001" max="1001" width="15.5703125" style="3" customWidth="1"/>
    <col min="1002" max="1013" width="0" style="3" hidden="1" customWidth="1"/>
    <col min="1014" max="1251" width="8.85546875" style="3"/>
    <col min="1252" max="1252" width="54.85546875" style="3" customWidth="1"/>
    <col min="1253" max="1253" width="7" style="3" customWidth="1"/>
    <col min="1254" max="1254" width="21.7109375" style="3" customWidth="1"/>
    <col min="1255" max="1255" width="16.28515625" style="3" customWidth="1"/>
    <col min="1256" max="1256" width="15.28515625" style="3" customWidth="1"/>
    <col min="1257" max="1257" width="15.5703125" style="3" customWidth="1"/>
    <col min="1258" max="1269" width="0" style="3" hidden="1" customWidth="1"/>
    <col min="1270" max="1507" width="8.85546875" style="3"/>
    <col min="1508" max="1508" width="54.85546875" style="3" customWidth="1"/>
    <col min="1509" max="1509" width="7" style="3" customWidth="1"/>
    <col min="1510" max="1510" width="21.7109375" style="3" customWidth="1"/>
    <col min="1511" max="1511" width="16.28515625" style="3" customWidth="1"/>
    <col min="1512" max="1512" width="15.28515625" style="3" customWidth="1"/>
    <col min="1513" max="1513" width="15.5703125" style="3" customWidth="1"/>
    <col min="1514" max="1525" width="0" style="3" hidden="1" customWidth="1"/>
    <col min="1526" max="1763" width="8.85546875" style="3"/>
    <col min="1764" max="1764" width="54.85546875" style="3" customWidth="1"/>
    <col min="1765" max="1765" width="7" style="3" customWidth="1"/>
    <col min="1766" max="1766" width="21.7109375" style="3" customWidth="1"/>
    <col min="1767" max="1767" width="16.28515625" style="3" customWidth="1"/>
    <col min="1768" max="1768" width="15.28515625" style="3" customWidth="1"/>
    <col min="1769" max="1769" width="15.5703125" style="3" customWidth="1"/>
    <col min="1770" max="1781" width="0" style="3" hidden="1" customWidth="1"/>
    <col min="1782" max="2019" width="8.85546875" style="3"/>
    <col min="2020" max="2020" width="54.85546875" style="3" customWidth="1"/>
    <col min="2021" max="2021" width="7" style="3" customWidth="1"/>
    <col min="2022" max="2022" width="21.7109375" style="3" customWidth="1"/>
    <col min="2023" max="2023" width="16.28515625" style="3" customWidth="1"/>
    <col min="2024" max="2024" width="15.28515625" style="3" customWidth="1"/>
    <col min="2025" max="2025" width="15.5703125" style="3" customWidth="1"/>
    <col min="2026" max="2037" width="0" style="3" hidden="1" customWidth="1"/>
    <col min="2038" max="2275" width="8.85546875" style="3"/>
    <col min="2276" max="2276" width="54.85546875" style="3" customWidth="1"/>
    <col min="2277" max="2277" width="7" style="3" customWidth="1"/>
    <col min="2278" max="2278" width="21.7109375" style="3" customWidth="1"/>
    <col min="2279" max="2279" width="16.28515625" style="3" customWidth="1"/>
    <col min="2280" max="2280" width="15.28515625" style="3" customWidth="1"/>
    <col min="2281" max="2281" width="15.5703125" style="3" customWidth="1"/>
    <col min="2282" max="2293" width="0" style="3" hidden="1" customWidth="1"/>
    <col min="2294" max="2531" width="8.85546875" style="3"/>
    <col min="2532" max="2532" width="54.85546875" style="3" customWidth="1"/>
    <col min="2533" max="2533" width="7" style="3" customWidth="1"/>
    <col min="2534" max="2534" width="21.7109375" style="3" customWidth="1"/>
    <col min="2535" max="2535" width="16.28515625" style="3" customWidth="1"/>
    <col min="2536" max="2536" width="15.28515625" style="3" customWidth="1"/>
    <col min="2537" max="2537" width="15.5703125" style="3" customWidth="1"/>
    <col min="2538" max="2549" width="0" style="3" hidden="1" customWidth="1"/>
    <col min="2550" max="2787" width="8.85546875" style="3"/>
    <col min="2788" max="2788" width="54.85546875" style="3" customWidth="1"/>
    <col min="2789" max="2789" width="7" style="3" customWidth="1"/>
    <col min="2790" max="2790" width="21.7109375" style="3" customWidth="1"/>
    <col min="2791" max="2791" width="16.28515625" style="3" customWidth="1"/>
    <col min="2792" max="2792" width="15.28515625" style="3" customWidth="1"/>
    <col min="2793" max="2793" width="15.5703125" style="3" customWidth="1"/>
    <col min="2794" max="2805" width="0" style="3" hidden="1" customWidth="1"/>
    <col min="2806" max="3043" width="8.85546875" style="3"/>
    <col min="3044" max="3044" width="54.85546875" style="3" customWidth="1"/>
    <col min="3045" max="3045" width="7" style="3" customWidth="1"/>
    <col min="3046" max="3046" width="21.7109375" style="3" customWidth="1"/>
    <col min="3047" max="3047" width="16.28515625" style="3" customWidth="1"/>
    <col min="3048" max="3048" width="15.28515625" style="3" customWidth="1"/>
    <col min="3049" max="3049" width="15.5703125" style="3" customWidth="1"/>
    <col min="3050" max="3061" width="0" style="3" hidden="1" customWidth="1"/>
    <col min="3062" max="3299" width="8.85546875" style="3"/>
    <col min="3300" max="3300" width="54.85546875" style="3" customWidth="1"/>
    <col min="3301" max="3301" width="7" style="3" customWidth="1"/>
    <col min="3302" max="3302" width="21.7109375" style="3" customWidth="1"/>
    <col min="3303" max="3303" width="16.28515625" style="3" customWidth="1"/>
    <col min="3304" max="3304" width="15.28515625" style="3" customWidth="1"/>
    <col min="3305" max="3305" width="15.5703125" style="3" customWidth="1"/>
    <col min="3306" max="3317" width="0" style="3" hidden="1" customWidth="1"/>
    <col min="3318" max="3555" width="8.85546875" style="3"/>
    <col min="3556" max="3556" width="54.85546875" style="3" customWidth="1"/>
    <col min="3557" max="3557" width="7" style="3" customWidth="1"/>
    <col min="3558" max="3558" width="21.7109375" style="3" customWidth="1"/>
    <col min="3559" max="3559" width="16.28515625" style="3" customWidth="1"/>
    <col min="3560" max="3560" width="15.28515625" style="3" customWidth="1"/>
    <col min="3561" max="3561" width="15.5703125" style="3" customWidth="1"/>
    <col min="3562" max="3573" width="0" style="3" hidden="1" customWidth="1"/>
    <col min="3574" max="3811" width="8.85546875" style="3"/>
    <col min="3812" max="3812" width="54.85546875" style="3" customWidth="1"/>
    <col min="3813" max="3813" width="7" style="3" customWidth="1"/>
    <col min="3814" max="3814" width="21.7109375" style="3" customWidth="1"/>
    <col min="3815" max="3815" width="16.28515625" style="3" customWidth="1"/>
    <col min="3816" max="3816" width="15.28515625" style="3" customWidth="1"/>
    <col min="3817" max="3817" width="15.5703125" style="3" customWidth="1"/>
    <col min="3818" max="3829" width="0" style="3" hidden="1" customWidth="1"/>
    <col min="3830" max="4067" width="8.85546875" style="3"/>
    <col min="4068" max="4068" width="54.85546875" style="3" customWidth="1"/>
    <col min="4069" max="4069" width="7" style="3" customWidth="1"/>
    <col min="4070" max="4070" width="21.7109375" style="3" customWidth="1"/>
    <col min="4071" max="4071" width="16.28515625" style="3" customWidth="1"/>
    <col min="4072" max="4072" width="15.28515625" style="3" customWidth="1"/>
    <col min="4073" max="4073" width="15.5703125" style="3" customWidth="1"/>
    <col min="4074" max="4085" width="0" style="3" hidden="1" customWidth="1"/>
    <col min="4086" max="4323" width="8.85546875" style="3"/>
    <col min="4324" max="4324" width="54.85546875" style="3" customWidth="1"/>
    <col min="4325" max="4325" width="7" style="3" customWidth="1"/>
    <col min="4326" max="4326" width="21.7109375" style="3" customWidth="1"/>
    <col min="4327" max="4327" width="16.28515625" style="3" customWidth="1"/>
    <col min="4328" max="4328" width="15.28515625" style="3" customWidth="1"/>
    <col min="4329" max="4329" width="15.5703125" style="3" customWidth="1"/>
    <col min="4330" max="4341" width="0" style="3" hidden="1" customWidth="1"/>
    <col min="4342" max="4579" width="8.85546875" style="3"/>
    <col min="4580" max="4580" width="54.85546875" style="3" customWidth="1"/>
    <col min="4581" max="4581" width="7" style="3" customWidth="1"/>
    <col min="4582" max="4582" width="21.7109375" style="3" customWidth="1"/>
    <col min="4583" max="4583" width="16.28515625" style="3" customWidth="1"/>
    <col min="4584" max="4584" width="15.28515625" style="3" customWidth="1"/>
    <col min="4585" max="4585" width="15.5703125" style="3" customWidth="1"/>
    <col min="4586" max="4597" width="0" style="3" hidden="1" customWidth="1"/>
    <col min="4598" max="4835" width="8.85546875" style="3"/>
    <col min="4836" max="4836" width="54.85546875" style="3" customWidth="1"/>
    <col min="4837" max="4837" width="7" style="3" customWidth="1"/>
    <col min="4838" max="4838" width="21.7109375" style="3" customWidth="1"/>
    <col min="4839" max="4839" width="16.28515625" style="3" customWidth="1"/>
    <col min="4840" max="4840" width="15.28515625" style="3" customWidth="1"/>
    <col min="4841" max="4841" width="15.5703125" style="3" customWidth="1"/>
    <col min="4842" max="4853" width="0" style="3" hidden="1" customWidth="1"/>
    <col min="4854" max="5091" width="8.85546875" style="3"/>
    <col min="5092" max="5092" width="54.85546875" style="3" customWidth="1"/>
    <col min="5093" max="5093" width="7" style="3" customWidth="1"/>
    <col min="5094" max="5094" width="21.7109375" style="3" customWidth="1"/>
    <col min="5095" max="5095" width="16.28515625" style="3" customWidth="1"/>
    <col min="5096" max="5096" width="15.28515625" style="3" customWidth="1"/>
    <col min="5097" max="5097" width="15.5703125" style="3" customWidth="1"/>
    <col min="5098" max="5109" width="0" style="3" hidden="1" customWidth="1"/>
    <col min="5110" max="5347" width="8.85546875" style="3"/>
    <col min="5348" max="5348" width="54.85546875" style="3" customWidth="1"/>
    <col min="5349" max="5349" width="7" style="3" customWidth="1"/>
    <col min="5350" max="5350" width="21.7109375" style="3" customWidth="1"/>
    <col min="5351" max="5351" width="16.28515625" style="3" customWidth="1"/>
    <col min="5352" max="5352" width="15.28515625" style="3" customWidth="1"/>
    <col min="5353" max="5353" width="15.5703125" style="3" customWidth="1"/>
    <col min="5354" max="5365" width="0" style="3" hidden="1" customWidth="1"/>
    <col min="5366" max="5603" width="8.85546875" style="3"/>
    <col min="5604" max="5604" width="54.85546875" style="3" customWidth="1"/>
    <col min="5605" max="5605" width="7" style="3" customWidth="1"/>
    <col min="5606" max="5606" width="21.7109375" style="3" customWidth="1"/>
    <col min="5607" max="5607" width="16.28515625" style="3" customWidth="1"/>
    <col min="5608" max="5608" width="15.28515625" style="3" customWidth="1"/>
    <col min="5609" max="5609" width="15.5703125" style="3" customWidth="1"/>
    <col min="5610" max="5621" width="0" style="3" hidden="1" customWidth="1"/>
    <col min="5622" max="5859" width="8.85546875" style="3"/>
    <col min="5860" max="5860" width="54.85546875" style="3" customWidth="1"/>
    <col min="5861" max="5861" width="7" style="3" customWidth="1"/>
    <col min="5862" max="5862" width="21.7109375" style="3" customWidth="1"/>
    <col min="5863" max="5863" width="16.28515625" style="3" customWidth="1"/>
    <col min="5864" max="5864" width="15.28515625" style="3" customWidth="1"/>
    <col min="5865" max="5865" width="15.5703125" style="3" customWidth="1"/>
    <col min="5866" max="5877" width="0" style="3" hidden="1" customWidth="1"/>
    <col min="5878" max="6115" width="8.85546875" style="3"/>
    <col min="6116" max="6116" width="54.85546875" style="3" customWidth="1"/>
    <col min="6117" max="6117" width="7" style="3" customWidth="1"/>
    <col min="6118" max="6118" width="21.7109375" style="3" customWidth="1"/>
    <col min="6119" max="6119" width="16.28515625" style="3" customWidth="1"/>
    <col min="6120" max="6120" width="15.28515625" style="3" customWidth="1"/>
    <col min="6121" max="6121" width="15.5703125" style="3" customWidth="1"/>
    <col min="6122" max="6133" width="0" style="3" hidden="1" customWidth="1"/>
    <col min="6134" max="6371" width="8.85546875" style="3"/>
    <col min="6372" max="6372" width="54.85546875" style="3" customWidth="1"/>
    <col min="6373" max="6373" width="7" style="3" customWidth="1"/>
    <col min="6374" max="6374" width="21.7109375" style="3" customWidth="1"/>
    <col min="6375" max="6375" width="16.28515625" style="3" customWidth="1"/>
    <col min="6376" max="6376" width="15.28515625" style="3" customWidth="1"/>
    <col min="6377" max="6377" width="15.5703125" style="3" customWidth="1"/>
    <col min="6378" max="6389" width="0" style="3" hidden="1" customWidth="1"/>
    <col min="6390" max="6627" width="8.85546875" style="3"/>
    <col min="6628" max="6628" width="54.85546875" style="3" customWidth="1"/>
    <col min="6629" max="6629" width="7" style="3" customWidth="1"/>
    <col min="6630" max="6630" width="21.7109375" style="3" customWidth="1"/>
    <col min="6631" max="6631" width="16.28515625" style="3" customWidth="1"/>
    <col min="6632" max="6632" width="15.28515625" style="3" customWidth="1"/>
    <col min="6633" max="6633" width="15.5703125" style="3" customWidth="1"/>
    <col min="6634" max="6645" width="0" style="3" hidden="1" customWidth="1"/>
    <col min="6646" max="6883" width="8.85546875" style="3"/>
    <col min="6884" max="6884" width="54.85546875" style="3" customWidth="1"/>
    <col min="6885" max="6885" width="7" style="3" customWidth="1"/>
    <col min="6886" max="6886" width="21.7109375" style="3" customWidth="1"/>
    <col min="6887" max="6887" width="16.28515625" style="3" customWidth="1"/>
    <col min="6888" max="6888" width="15.28515625" style="3" customWidth="1"/>
    <col min="6889" max="6889" width="15.5703125" style="3" customWidth="1"/>
    <col min="6890" max="6901" width="0" style="3" hidden="1" customWidth="1"/>
    <col min="6902" max="7139" width="8.85546875" style="3"/>
    <col min="7140" max="7140" width="54.85546875" style="3" customWidth="1"/>
    <col min="7141" max="7141" width="7" style="3" customWidth="1"/>
    <col min="7142" max="7142" width="21.7109375" style="3" customWidth="1"/>
    <col min="7143" max="7143" width="16.28515625" style="3" customWidth="1"/>
    <col min="7144" max="7144" width="15.28515625" style="3" customWidth="1"/>
    <col min="7145" max="7145" width="15.5703125" style="3" customWidth="1"/>
    <col min="7146" max="7157" width="0" style="3" hidden="1" customWidth="1"/>
    <col min="7158" max="7395" width="8.85546875" style="3"/>
    <col min="7396" max="7396" width="54.85546875" style="3" customWidth="1"/>
    <col min="7397" max="7397" width="7" style="3" customWidth="1"/>
    <col min="7398" max="7398" width="21.7109375" style="3" customWidth="1"/>
    <col min="7399" max="7399" width="16.28515625" style="3" customWidth="1"/>
    <col min="7400" max="7400" width="15.28515625" style="3" customWidth="1"/>
    <col min="7401" max="7401" width="15.5703125" style="3" customWidth="1"/>
    <col min="7402" max="7413" width="0" style="3" hidden="1" customWidth="1"/>
    <col min="7414" max="7651" width="8.85546875" style="3"/>
    <col min="7652" max="7652" width="54.85546875" style="3" customWidth="1"/>
    <col min="7653" max="7653" width="7" style="3" customWidth="1"/>
    <col min="7654" max="7654" width="21.7109375" style="3" customWidth="1"/>
    <col min="7655" max="7655" width="16.28515625" style="3" customWidth="1"/>
    <col min="7656" max="7656" width="15.28515625" style="3" customWidth="1"/>
    <col min="7657" max="7657" width="15.5703125" style="3" customWidth="1"/>
    <col min="7658" max="7669" width="0" style="3" hidden="1" customWidth="1"/>
    <col min="7670" max="7907" width="8.85546875" style="3"/>
    <col min="7908" max="7908" width="54.85546875" style="3" customWidth="1"/>
    <col min="7909" max="7909" width="7" style="3" customWidth="1"/>
    <col min="7910" max="7910" width="21.7109375" style="3" customWidth="1"/>
    <col min="7911" max="7911" width="16.28515625" style="3" customWidth="1"/>
    <col min="7912" max="7912" width="15.28515625" style="3" customWidth="1"/>
    <col min="7913" max="7913" width="15.5703125" style="3" customWidth="1"/>
    <col min="7914" max="7925" width="0" style="3" hidden="1" customWidth="1"/>
    <col min="7926" max="8163" width="8.85546875" style="3"/>
    <col min="8164" max="8164" width="54.85546875" style="3" customWidth="1"/>
    <col min="8165" max="8165" width="7" style="3" customWidth="1"/>
    <col min="8166" max="8166" width="21.7109375" style="3" customWidth="1"/>
    <col min="8167" max="8167" width="16.28515625" style="3" customWidth="1"/>
    <col min="8168" max="8168" width="15.28515625" style="3" customWidth="1"/>
    <col min="8169" max="8169" width="15.5703125" style="3" customWidth="1"/>
    <col min="8170" max="8181" width="0" style="3" hidden="1" customWidth="1"/>
    <col min="8182" max="8419" width="8.85546875" style="3"/>
    <col min="8420" max="8420" width="54.85546875" style="3" customWidth="1"/>
    <col min="8421" max="8421" width="7" style="3" customWidth="1"/>
    <col min="8422" max="8422" width="21.7109375" style="3" customWidth="1"/>
    <col min="8423" max="8423" width="16.28515625" style="3" customWidth="1"/>
    <col min="8424" max="8424" width="15.28515625" style="3" customWidth="1"/>
    <col min="8425" max="8425" width="15.5703125" style="3" customWidth="1"/>
    <col min="8426" max="8437" width="0" style="3" hidden="1" customWidth="1"/>
    <col min="8438" max="8675" width="8.85546875" style="3"/>
    <col min="8676" max="8676" width="54.85546875" style="3" customWidth="1"/>
    <col min="8677" max="8677" width="7" style="3" customWidth="1"/>
    <col min="8678" max="8678" width="21.7109375" style="3" customWidth="1"/>
    <col min="8679" max="8679" width="16.28515625" style="3" customWidth="1"/>
    <col min="8680" max="8680" width="15.28515625" style="3" customWidth="1"/>
    <col min="8681" max="8681" width="15.5703125" style="3" customWidth="1"/>
    <col min="8682" max="8693" width="0" style="3" hidden="1" customWidth="1"/>
    <col min="8694" max="8931" width="8.85546875" style="3"/>
    <col min="8932" max="8932" width="54.85546875" style="3" customWidth="1"/>
    <col min="8933" max="8933" width="7" style="3" customWidth="1"/>
    <col min="8934" max="8934" width="21.7109375" style="3" customWidth="1"/>
    <col min="8935" max="8935" width="16.28515625" style="3" customWidth="1"/>
    <col min="8936" max="8936" width="15.28515625" style="3" customWidth="1"/>
    <col min="8937" max="8937" width="15.5703125" style="3" customWidth="1"/>
    <col min="8938" max="8949" width="0" style="3" hidden="1" customWidth="1"/>
    <col min="8950" max="9187" width="8.85546875" style="3"/>
    <col min="9188" max="9188" width="54.85546875" style="3" customWidth="1"/>
    <col min="9189" max="9189" width="7" style="3" customWidth="1"/>
    <col min="9190" max="9190" width="21.7109375" style="3" customWidth="1"/>
    <col min="9191" max="9191" width="16.28515625" style="3" customWidth="1"/>
    <col min="9192" max="9192" width="15.28515625" style="3" customWidth="1"/>
    <col min="9193" max="9193" width="15.5703125" style="3" customWidth="1"/>
    <col min="9194" max="9205" width="0" style="3" hidden="1" customWidth="1"/>
    <col min="9206" max="9443" width="8.85546875" style="3"/>
    <col min="9444" max="9444" width="54.85546875" style="3" customWidth="1"/>
    <col min="9445" max="9445" width="7" style="3" customWidth="1"/>
    <col min="9446" max="9446" width="21.7109375" style="3" customWidth="1"/>
    <col min="9447" max="9447" width="16.28515625" style="3" customWidth="1"/>
    <col min="9448" max="9448" width="15.28515625" style="3" customWidth="1"/>
    <col min="9449" max="9449" width="15.5703125" style="3" customWidth="1"/>
    <col min="9450" max="9461" width="0" style="3" hidden="1" customWidth="1"/>
    <col min="9462" max="9699" width="8.85546875" style="3"/>
    <col min="9700" max="9700" width="54.85546875" style="3" customWidth="1"/>
    <col min="9701" max="9701" width="7" style="3" customWidth="1"/>
    <col min="9702" max="9702" width="21.7109375" style="3" customWidth="1"/>
    <col min="9703" max="9703" width="16.28515625" style="3" customWidth="1"/>
    <col min="9704" max="9704" width="15.28515625" style="3" customWidth="1"/>
    <col min="9705" max="9705" width="15.5703125" style="3" customWidth="1"/>
    <col min="9706" max="9717" width="0" style="3" hidden="1" customWidth="1"/>
    <col min="9718" max="9955" width="8.85546875" style="3"/>
    <col min="9956" max="9956" width="54.85546875" style="3" customWidth="1"/>
    <col min="9957" max="9957" width="7" style="3" customWidth="1"/>
    <col min="9958" max="9958" width="21.7109375" style="3" customWidth="1"/>
    <col min="9959" max="9959" width="16.28515625" style="3" customWidth="1"/>
    <col min="9960" max="9960" width="15.28515625" style="3" customWidth="1"/>
    <col min="9961" max="9961" width="15.5703125" style="3" customWidth="1"/>
    <col min="9962" max="9973" width="0" style="3" hidden="1" customWidth="1"/>
    <col min="9974" max="10211" width="8.85546875" style="3"/>
    <col min="10212" max="10212" width="54.85546875" style="3" customWidth="1"/>
    <col min="10213" max="10213" width="7" style="3" customWidth="1"/>
    <col min="10214" max="10214" width="21.7109375" style="3" customWidth="1"/>
    <col min="10215" max="10215" width="16.28515625" style="3" customWidth="1"/>
    <col min="10216" max="10216" width="15.28515625" style="3" customWidth="1"/>
    <col min="10217" max="10217" width="15.5703125" style="3" customWidth="1"/>
    <col min="10218" max="10229" width="0" style="3" hidden="1" customWidth="1"/>
    <col min="10230" max="10467" width="8.85546875" style="3"/>
    <col min="10468" max="10468" width="54.85546875" style="3" customWidth="1"/>
    <col min="10469" max="10469" width="7" style="3" customWidth="1"/>
    <col min="10470" max="10470" width="21.7109375" style="3" customWidth="1"/>
    <col min="10471" max="10471" width="16.28515625" style="3" customWidth="1"/>
    <col min="10472" max="10472" width="15.28515625" style="3" customWidth="1"/>
    <col min="10473" max="10473" width="15.5703125" style="3" customWidth="1"/>
    <col min="10474" max="10485" width="0" style="3" hidden="1" customWidth="1"/>
    <col min="10486" max="10723" width="8.85546875" style="3"/>
    <col min="10724" max="10724" width="54.85546875" style="3" customWidth="1"/>
    <col min="10725" max="10725" width="7" style="3" customWidth="1"/>
    <col min="10726" max="10726" width="21.7109375" style="3" customWidth="1"/>
    <col min="10727" max="10727" width="16.28515625" style="3" customWidth="1"/>
    <col min="10728" max="10728" width="15.28515625" style="3" customWidth="1"/>
    <col min="10729" max="10729" width="15.5703125" style="3" customWidth="1"/>
    <col min="10730" max="10741" width="0" style="3" hidden="1" customWidth="1"/>
    <col min="10742" max="10979" width="8.85546875" style="3"/>
    <col min="10980" max="10980" width="54.85546875" style="3" customWidth="1"/>
    <col min="10981" max="10981" width="7" style="3" customWidth="1"/>
    <col min="10982" max="10982" width="21.7109375" style="3" customWidth="1"/>
    <col min="10983" max="10983" width="16.28515625" style="3" customWidth="1"/>
    <col min="10984" max="10984" width="15.28515625" style="3" customWidth="1"/>
    <col min="10985" max="10985" width="15.5703125" style="3" customWidth="1"/>
    <col min="10986" max="10997" width="0" style="3" hidden="1" customWidth="1"/>
    <col min="10998" max="11235" width="8.85546875" style="3"/>
    <col min="11236" max="11236" width="54.85546875" style="3" customWidth="1"/>
    <col min="11237" max="11237" width="7" style="3" customWidth="1"/>
    <col min="11238" max="11238" width="21.7109375" style="3" customWidth="1"/>
    <col min="11239" max="11239" width="16.28515625" style="3" customWidth="1"/>
    <col min="11240" max="11240" width="15.28515625" style="3" customWidth="1"/>
    <col min="11241" max="11241" width="15.5703125" style="3" customWidth="1"/>
    <col min="11242" max="11253" width="0" style="3" hidden="1" customWidth="1"/>
    <col min="11254" max="11491" width="8.85546875" style="3"/>
    <col min="11492" max="11492" width="54.85546875" style="3" customWidth="1"/>
    <col min="11493" max="11493" width="7" style="3" customWidth="1"/>
    <col min="11494" max="11494" width="21.7109375" style="3" customWidth="1"/>
    <col min="11495" max="11495" width="16.28515625" style="3" customWidth="1"/>
    <col min="11496" max="11496" width="15.28515625" style="3" customWidth="1"/>
    <col min="11497" max="11497" width="15.5703125" style="3" customWidth="1"/>
    <col min="11498" max="11509" width="0" style="3" hidden="1" customWidth="1"/>
    <col min="11510" max="11747" width="8.85546875" style="3"/>
    <col min="11748" max="11748" width="54.85546875" style="3" customWidth="1"/>
    <col min="11749" max="11749" width="7" style="3" customWidth="1"/>
    <col min="11750" max="11750" width="21.7109375" style="3" customWidth="1"/>
    <col min="11751" max="11751" width="16.28515625" style="3" customWidth="1"/>
    <col min="11752" max="11752" width="15.28515625" style="3" customWidth="1"/>
    <col min="11753" max="11753" width="15.5703125" style="3" customWidth="1"/>
    <col min="11754" max="11765" width="0" style="3" hidden="1" customWidth="1"/>
    <col min="11766" max="12003" width="8.85546875" style="3"/>
    <col min="12004" max="12004" width="54.85546875" style="3" customWidth="1"/>
    <col min="12005" max="12005" width="7" style="3" customWidth="1"/>
    <col min="12006" max="12006" width="21.7109375" style="3" customWidth="1"/>
    <col min="12007" max="12007" width="16.28515625" style="3" customWidth="1"/>
    <col min="12008" max="12008" width="15.28515625" style="3" customWidth="1"/>
    <col min="12009" max="12009" width="15.5703125" style="3" customWidth="1"/>
    <col min="12010" max="12021" width="0" style="3" hidden="1" customWidth="1"/>
    <col min="12022" max="12259" width="8.85546875" style="3"/>
    <col min="12260" max="12260" width="54.85546875" style="3" customWidth="1"/>
    <col min="12261" max="12261" width="7" style="3" customWidth="1"/>
    <col min="12262" max="12262" width="21.7109375" style="3" customWidth="1"/>
    <col min="12263" max="12263" width="16.28515625" style="3" customWidth="1"/>
    <col min="12264" max="12264" width="15.28515625" style="3" customWidth="1"/>
    <col min="12265" max="12265" width="15.5703125" style="3" customWidth="1"/>
    <col min="12266" max="12277" width="0" style="3" hidden="1" customWidth="1"/>
    <col min="12278" max="12515" width="8.85546875" style="3"/>
    <col min="12516" max="12516" width="54.85546875" style="3" customWidth="1"/>
    <col min="12517" max="12517" width="7" style="3" customWidth="1"/>
    <col min="12518" max="12518" width="21.7109375" style="3" customWidth="1"/>
    <col min="12519" max="12519" width="16.28515625" style="3" customWidth="1"/>
    <col min="12520" max="12520" width="15.28515625" style="3" customWidth="1"/>
    <col min="12521" max="12521" width="15.5703125" style="3" customWidth="1"/>
    <col min="12522" max="12533" width="0" style="3" hidden="1" customWidth="1"/>
    <col min="12534" max="12771" width="8.85546875" style="3"/>
    <col min="12772" max="12772" width="54.85546875" style="3" customWidth="1"/>
    <col min="12773" max="12773" width="7" style="3" customWidth="1"/>
    <col min="12774" max="12774" width="21.7109375" style="3" customWidth="1"/>
    <col min="12775" max="12775" width="16.28515625" style="3" customWidth="1"/>
    <col min="12776" max="12776" width="15.28515625" style="3" customWidth="1"/>
    <col min="12777" max="12777" width="15.5703125" style="3" customWidth="1"/>
    <col min="12778" max="12789" width="0" style="3" hidden="1" customWidth="1"/>
    <col min="12790" max="13027" width="8.85546875" style="3"/>
    <col min="13028" max="13028" width="54.85546875" style="3" customWidth="1"/>
    <col min="13029" max="13029" width="7" style="3" customWidth="1"/>
    <col min="13030" max="13030" width="21.7109375" style="3" customWidth="1"/>
    <col min="13031" max="13031" width="16.28515625" style="3" customWidth="1"/>
    <col min="13032" max="13032" width="15.28515625" style="3" customWidth="1"/>
    <col min="13033" max="13033" width="15.5703125" style="3" customWidth="1"/>
    <col min="13034" max="13045" width="0" style="3" hidden="1" customWidth="1"/>
    <col min="13046" max="13283" width="8.85546875" style="3"/>
    <col min="13284" max="13284" width="54.85546875" style="3" customWidth="1"/>
    <col min="13285" max="13285" width="7" style="3" customWidth="1"/>
    <col min="13286" max="13286" width="21.7109375" style="3" customWidth="1"/>
    <col min="13287" max="13287" width="16.28515625" style="3" customWidth="1"/>
    <col min="13288" max="13288" width="15.28515625" style="3" customWidth="1"/>
    <col min="13289" max="13289" width="15.5703125" style="3" customWidth="1"/>
    <col min="13290" max="13301" width="0" style="3" hidden="1" customWidth="1"/>
    <col min="13302" max="13539" width="8.85546875" style="3"/>
    <col min="13540" max="13540" width="54.85546875" style="3" customWidth="1"/>
    <col min="13541" max="13541" width="7" style="3" customWidth="1"/>
    <col min="13542" max="13542" width="21.7109375" style="3" customWidth="1"/>
    <col min="13543" max="13543" width="16.28515625" style="3" customWidth="1"/>
    <col min="13544" max="13544" width="15.28515625" style="3" customWidth="1"/>
    <col min="13545" max="13545" width="15.5703125" style="3" customWidth="1"/>
    <col min="13546" max="13557" width="0" style="3" hidden="1" customWidth="1"/>
    <col min="13558" max="13795" width="8.85546875" style="3"/>
    <col min="13796" max="13796" width="54.85546875" style="3" customWidth="1"/>
    <col min="13797" max="13797" width="7" style="3" customWidth="1"/>
    <col min="13798" max="13798" width="21.7109375" style="3" customWidth="1"/>
    <col min="13799" max="13799" width="16.28515625" style="3" customWidth="1"/>
    <col min="13800" max="13800" width="15.28515625" style="3" customWidth="1"/>
    <col min="13801" max="13801" width="15.5703125" style="3" customWidth="1"/>
    <col min="13802" max="13813" width="0" style="3" hidden="1" customWidth="1"/>
    <col min="13814" max="14051" width="8.85546875" style="3"/>
    <col min="14052" max="14052" width="54.85546875" style="3" customWidth="1"/>
    <col min="14053" max="14053" width="7" style="3" customWidth="1"/>
    <col min="14054" max="14054" width="21.7109375" style="3" customWidth="1"/>
    <col min="14055" max="14055" width="16.28515625" style="3" customWidth="1"/>
    <col min="14056" max="14056" width="15.28515625" style="3" customWidth="1"/>
    <col min="14057" max="14057" width="15.5703125" style="3" customWidth="1"/>
    <col min="14058" max="14069" width="0" style="3" hidden="1" customWidth="1"/>
    <col min="14070" max="14307" width="8.85546875" style="3"/>
    <col min="14308" max="14308" width="54.85546875" style="3" customWidth="1"/>
    <col min="14309" max="14309" width="7" style="3" customWidth="1"/>
    <col min="14310" max="14310" width="21.7109375" style="3" customWidth="1"/>
    <col min="14311" max="14311" width="16.28515625" style="3" customWidth="1"/>
    <col min="14312" max="14312" width="15.28515625" style="3" customWidth="1"/>
    <col min="14313" max="14313" width="15.5703125" style="3" customWidth="1"/>
    <col min="14314" max="14325" width="0" style="3" hidden="1" customWidth="1"/>
    <col min="14326" max="14563" width="8.85546875" style="3"/>
    <col min="14564" max="14564" width="54.85546875" style="3" customWidth="1"/>
    <col min="14565" max="14565" width="7" style="3" customWidth="1"/>
    <col min="14566" max="14566" width="21.7109375" style="3" customWidth="1"/>
    <col min="14567" max="14567" width="16.28515625" style="3" customWidth="1"/>
    <col min="14568" max="14568" width="15.28515625" style="3" customWidth="1"/>
    <col min="14569" max="14569" width="15.5703125" style="3" customWidth="1"/>
    <col min="14570" max="14581" width="0" style="3" hidden="1" customWidth="1"/>
    <col min="14582" max="14819" width="8.85546875" style="3"/>
    <col min="14820" max="14820" width="54.85546875" style="3" customWidth="1"/>
    <col min="14821" max="14821" width="7" style="3" customWidth="1"/>
    <col min="14822" max="14822" width="21.7109375" style="3" customWidth="1"/>
    <col min="14823" max="14823" width="16.28515625" style="3" customWidth="1"/>
    <col min="14824" max="14824" width="15.28515625" style="3" customWidth="1"/>
    <col min="14825" max="14825" width="15.5703125" style="3" customWidth="1"/>
    <col min="14826" max="14837" width="0" style="3" hidden="1" customWidth="1"/>
    <col min="14838" max="15075" width="8.85546875" style="3"/>
    <col min="15076" max="15076" width="54.85546875" style="3" customWidth="1"/>
    <col min="15077" max="15077" width="7" style="3" customWidth="1"/>
    <col min="15078" max="15078" width="21.7109375" style="3" customWidth="1"/>
    <col min="15079" max="15079" width="16.28515625" style="3" customWidth="1"/>
    <col min="15080" max="15080" width="15.28515625" style="3" customWidth="1"/>
    <col min="15081" max="15081" width="15.5703125" style="3" customWidth="1"/>
    <col min="15082" max="15093" width="0" style="3" hidden="1" customWidth="1"/>
    <col min="15094" max="15331" width="8.85546875" style="3"/>
    <col min="15332" max="15332" width="54.85546875" style="3" customWidth="1"/>
    <col min="15333" max="15333" width="7" style="3" customWidth="1"/>
    <col min="15334" max="15334" width="21.7109375" style="3" customWidth="1"/>
    <col min="15335" max="15335" width="16.28515625" style="3" customWidth="1"/>
    <col min="15336" max="15336" width="15.28515625" style="3" customWidth="1"/>
    <col min="15337" max="15337" width="15.5703125" style="3" customWidth="1"/>
    <col min="15338" max="15349" width="0" style="3" hidden="1" customWidth="1"/>
    <col min="15350" max="15587" width="8.85546875" style="3"/>
    <col min="15588" max="15588" width="54.85546875" style="3" customWidth="1"/>
    <col min="15589" max="15589" width="7" style="3" customWidth="1"/>
    <col min="15590" max="15590" width="21.7109375" style="3" customWidth="1"/>
    <col min="15591" max="15591" width="16.28515625" style="3" customWidth="1"/>
    <col min="15592" max="15592" width="15.28515625" style="3" customWidth="1"/>
    <col min="15593" max="15593" width="15.5703125" style="3" customWidth="1"/>
    <col min="15594" max="15605" width="0" style="3" hidden="1" customWidth="1"/>
    <col min="15606" max="15843" width="8.85546875" style="3"/>
    <col min="15844" max="15844" width="54.85546875" style="3" customWidth="1"/>
    <col min="15845" max="15845" width="7" style="3" customWidth="1"/>
    <col min="15846" max="15846" width="21.7109375" style="3" customWidth="1"/>
    <col min="15847" max="15847" width="16.28515625" style="3" customWidth="1"/>
    <col min="15848" max="15848" width="15.28515625" style="3" customWidth="1"/>
    <col min="15849" max="15849" width="15.5703125" style="3" customWidth="1"/>
    <col min="15850" max="15861" width="0" style="3" hidden="1" customWidth="1"/>
    <col min="15862" max="16099" width="8.85546875" style="3"/>
    <col min="16100" max="16100" width="54.85546875" style="3" customWidth="1"/>
    <col min="16101" max="16101" width="7" style="3" customWidth="1"/>
    <col min="16102" max="16102" width="21.7109375" style="3" customWidth="1"/>
    <col min="16103" max="16103" width="16.28515625" style="3" customWidth="1"/>
    <col min="16104" max="16104" width="15.28515625" style="3" customWidth="1"/>
    <col min="16105" max="16105" width="15.5703125" style="3" customWidth="1"/>
    <col min="16106" max="16117" width="0" style="3" hidden="1" customWidth="1"/>
    <col min="16118" max="16370" width="8.85546875" style="3"/>
    <col min="16371" max="16384" width="8.85546875" style="3" customWidth="1"/>
  </cols>
  <sheetData>
    <row r="1" spans="1:14" ht="13.15" customHeight="1">
      <c r="B1" s="1"/>
      <c r="C1" s="2"/>
      <c r="D1" s="109"/>
      <c r="E1" s="118" t="s">
        <v>478</v>
      </c>
      <c r="F1" s="118"/>
      <c r="G1" s="118"/>
    </row>
    <row r="2" spans="1:14">
      <c r="B2" s="4"/>
      <c r="C2" s="2"/>
      <c r="D2" s="109"/>
      <c r="E2" s="118" t="s">
        <v>479</v>
      </c>
      <c r="F2" s="118"/>
      <c r="G2" s="118"/>
    </row>
    <row r="3" spans="1:14">
      <c r="B3" s="4"/>
      <c r="C3" s="2"/>
      <c r="D3" s="109"/>
      <c r="E3" s="118" t="s">
        <v>480</v>
      </c>
      <c r="F3" s="118"/>
      <c r="G3" s="118"/>
    </row>
    <row r="4" spans="1:14">
      <c r="B4" s="4"/>
      <c r="C4" s="2"/>
      <c r="D4" s="109"/>
      <c r="E4" s="119" t="s">
        <v>481</v>
      </c>
      <c r="F4" s="119"/>
      <c r="G4" s="119"/>
    </row>
    <row r="5" spans="1:14" ht="15.6" customHeight="1">
      <c r="B5" s="4"/>
      <c r="C5" s="2"/>
      <c r="D5" s="109"/>
      <c r="E5" s="120" t="s">
        <v>482</v>
      </c>
      <c r="F5" s="120"/>
      <c r="G5" s="120"/>
    </row>
    <row r="6" spans="1:14" ht="39.6" customHeight="1">
      <c r="A6" s="117" t="s">
        <v>452</v>
      </c>
      <c r="B6" s="117"/>
      <c r="C6" s="117"/>
      <c r="D6" s="117"/>
      <c r="E6" s="117"/>
      <c r="F6" s="117"/>
      <c r="G6" s="117"/>
      <c r="H6" s="3"/>
      <c r="I6" s="3"/>
      <c r="J6" s="3"/>
      <c r="K6" s="3"/>
      <c r="L6" s="3"/>
      <c r="M6" s="3"/>
      <c r="N6" s="3"/>
    </row>
    <row r="7" spans="1:14">
      <c r="A7" s="51"/>
      <c r="B7" s="5"/>
      <c r="C7" s="5"/>
      <c r="D7" s="6"/>
      <c r="F7" s="7"/>
      <c r="G7" s="7" t="s">
        <v>0</v>
      </c>
    </row>
    <row r="8" spans="1:14" ht="31.15" customHeight="1">
      <c r="A8" s="111" t="s">
        <v>1</v>
      </c>
      <c r="B8" s="112" t="s">
        <v>2</v>
      </c>
      <c r="C8" s="112"/>
      <c r="D8" s="113" t="s">
        <v>448</v>
      </c>
      <c r="E8" s="114" t="s">
        <v>449</v>
      </c>
      <c r="F8" s="116" t="s">
        <v>450</v>
      </c>
      <c r="G8" s="113" t="s">
        <v>451</v>
      </c>
    </row>
    <row r="9" spans="1:14" ht="63.75">
      <c r="A9" s="111"/>
      <c r="B9" s="79" t="s">
        <v>3</v>
      </c>
      <c r="C9" s="79" t="s">
        <v>4</v>
      </c>
      <c r="D9" s="113"/>
      <c r="E9" s="115"/>
      <c r="F9" s="116"/>
      <c r="G9" s="113"/>
    </row>
    <row r="10" spans="1:14" ht="14.45" hidden="1" customHeight="1">
      <c r="A10" s="52" t="s">
        <v>5</v>
      </c>
      <c r="B10" s="8" t="s">
        <v>6</v>
      </c>
      <c r="C10" s="9" t="s">
        <v>7</v>
      </c>
      <c r="D10" s="10">
        <f>+D11+D28+D42+D50+D57+D65+D83+D93+D107+D118+D172+D18</f>
        <v>831123604.77999997</v>
      </c>
      <c r="E10" s="10">
        <f>+E11+E28+E42+E50+E57+E65+E83+E93+E107+E118+E172+E18</f>
        <v>826091446.52999997</v>
      </c>
      <c r="F10" s="10">
        <f>+F11+F28+F42+F50+F57+F65+F83+F93+F107+F118+F172+F18</f>
        <v>-5032158.2500000224</v>
      </c>
      <c r="G10" s="89">
        <f>E10/D10*100</f>
        <v>99.39453551540845</v>
      </c>
    </row>
    <row r="11" spans="1:14" s="12" customFormat="1" ht="18" hidden="1" customHeight="1">
      <c r="A11" s="52" t="s">
        <v>8</v>
      </c>
      <c r="B11" s="8" t="s">
        <v>6</v>
      </c>
      <c r="C11" s="11" t="s">
        <v>9</v>
      </c>
      <c r="D11" s="10">
        <f>+D12</f>
        <v>453604000</v>
      </c>
      <c r="E11" s="10">
        <f>+E12</f>
        <v>452060261.27999997</v>
      </c>
      <c r="F11" s="10">
        <f>+F12</f>
        <v>-1543738.7200000226</v>
      </c>
      <c r="G11" s="89">
        <f t="shared" ref="G11:G78" si="0">E11/D11*100</f>
        <v>99.659672595479748</v>
      </c>
      <c r="H11" s="84"/>
      <c r="I11" s="70"/>
      <c r="J11" s="84"/>
      <c r="K11" s="84"/>
      <c r="L11" s="84"/>
      <c r="M11" s="84"/>
      <c r="N11" s="84"/>
    </row>
    <row r="12" spans="1:14" s="13" customFormat="1" ht="15.6" hidden="1" customHeight="1">
      <c r="A12" s="52" t="s">
        <v>10</v>
      </c>
      <c r="B12" s="8" t="s">
        <v>6</v>
      </c>
      <c r="C12" s="11" t="s">
        <v>11</v>
      </c>
      <c r="D12" s="10">
        <f>+D13+D14+D16+D15+D17</f>
        <v>453604000</v>
      </c>
      <c r="E12" s="10">
        <f t="shared" ref="E12" si="1">+E13+E14+E16+E15+E17</f>
        <v>452060261.27999997</v>
      </c>
      <c r="F12" s="10">
        <f>+F13+F14+F16+F15+F17</f>
        <v>-1543738.7200000226</v>
      </c>
      <c r="G12" s="89">
        <f t="shared" si="0"/>
        <v>99.659672595479748</v>
      </c>
      <c r="H12" s="30"/>
      <c r="I12" s="60"/>
      <c r="J12" s="30"/>
      <c r="K12" s="30"/>
      <c r="L12" s="30"/>
      <c r="M12" s="30"/>
      <c r="N12" s="30"/>
    </row>
    <row r="13" spans="1:14" ht="72.599999999999994" hidden="1" customHeight="1">
      <c r="A13" s="53" t="s">
        <v>12</v>
      </c>
      <c r="B13" s="14" t="s">
        <v>13</v>
      </c>
      <c r="C13" s="14" t="s">
        <v>14</v>
      </c>
      <c r="D13" s="10">
        <v>426654000</v>
      </c>
      <c r="E13" s="10">
        <v>424629010.64999998</v>
      </c>
      <c r="F13" s="10">
        <f>E13-D13</f>
        <v>-2024989.3500000238</v>
      </c>
      <c r="G13" s="89">
        <f t="shared" si="0"/>
        <v>99.525379030783725</v>
      </c>
    </row>
    <row r="14" spans="1:14" ht="96" hidden="1" customHeight="1">
      <c r="A14" s="53" t="s">
        <v>15</v>
      </c>
      <c r="B14" s="14" t="s">
        <v>13</v>
      </c>
      <c r="C14" s="14" t="s">
        <v>16</v>
      </c>
      <c r="D14" s="10">
        <f>13574188+21000+3104812+127+1499873</f>
        <v>18200000</v>
      </c>
      <c r="E14" s="10">
        <v>18127705.030000001</v>
      </c>
      <c r="F14" s="10">
        <f t="shared" ref="F14:F16" si="2">E14-D14</f>
        <v>-72294.969999998808</v>
      </c>
      <c r="G14" s="89">
        <f t="shared" si="0"/>
        <v>99.602774890109899</v>
      </c>
    </row>
    <row r="15" spans="1:14" ht="43.15" hidden="1" customHeight="1">
      <c r="A15" s="53" t="s">
        <v>17</v>
      </c>
      <c r="B15" s="14" t="s">
        <v>13</v>
      </c>
      <c r="C15" s="14" t="s">
        <v>18</v>
      </c>
      <c r="D15" s="10">
        <f>4099000-1579000+430000</f>
        <v>2950000</v>
      </c>
      <c r="E15" s="10">
        <v>2953002.06</v>
      </c>
      <c r="F15" s="10">
        <f t="shared" si="2"/>
        <v>3002.0600000000559</v>
      </c>
      <c r="G15" s="89">
        <f t="shared" si="0"/>
        <v>100.10176474576271</v>
      </c>
    </row>
    <row r="16" spans="1:14" ht="85.9" hidden="1" customHeight="1">
      <c r="A16" s="53" t="s">
        <v>19</v>
      </c>
      <c r="B16" s="14" t="s">
        <v>13</v>
      </c>
      <c r="C16" s="14" t="s">
        <v>20</v>
      </c>
      <c r="D16" s="10">
        <f>3600000+1200000+1000000</f>
        <v>5800000</v>
      </c>
      <c r="E16" s="10">
        <v>6350458.4100000001</v>
      </c>
      <c r="F16" s="10">
        <f t="shared" si="2"/>
        <v>550458.41000000015</v>
      </c>
      <c r="G16" s="89">
        <f t="shared" si="0"/>
        <v>109.49066224137931</v>
      </c>
    </row>
    <row r="17" spans="1:14" s="91" customFormat="1" ht="57.75" hidden="1" customHeight="1">
      <c r="A17" s="100" t="s">
        <v>468</v>
      </c>
      <c r="B17" s="101" t="s">
        <v>13</v>
      </c>
      <c r="C17" s="101" t="s">
        <v>467</v>
      </c>
      <c r="D17" s="102">
        <v>0</v>
      </c>
      <c r="E17" s="102">
        <v>85.13</v>
      </c>
      <c r="F17" s="102">
        <f t="shared" ref="F17" si="3">E17-D17</f>
        <v>85.13</v>
      </c>
      <c r="G17" s="103">
        <v>0</v>
      </c>
      <c r="H17" s="93"/>
      <c r="I17" s="94"/>
      <c r="J17" s="93"/>
      <c r="K17" s="93"/>
      <c r="L17" s="93"/>
      <c r="M17" s="93"/>
      <c r="N17" s="93"/>
    </row>
    <row r="18" spans="1:14" ht="27" hidden="1" customHeight="1">
      <c r="A18" s="53" t="s">
        <v>21</v>
      </c>
      <c r="B18" s="14" t="s">
        <v>6</v>
      </c>
      <c r="C18" s="14" t="s">
        <v>22</v>
      </c>
      <c r="D18" s="10">
        <f>+D19</f>
        <v>9257000</v>
      </c>
      <c r="E18" s="10">
        <f>+E19</f>
        <v>9218783.9099999983</v>
      </c>
      <c r="F18" s="10">
        <f>+F19</f>
        <v>-38216.089999999676</v>
      </c>
      <c r="G18" s="89">
        <f t="shared" si="0"/>
        <v>99.587165496381104</v>
      </c>
    </row>
    <row r="19" spans="1:14" ht="31.9" hidden="1" customHeight="1">
      <c r="A19" s="53" t="s">
        <v>23</v>
      </c>
      <c r="B19" s="14" t="s">
        <v>6</v>
      </c>
      <c r="C19" s="14" t="s">
        <v>24</v>
      </c>
      <c r="D19" s="10">
        <f>+D20+D22+D24+D26</f>
        <v>9257000</v>
      </c>
      <c r="E19" s="10">
        <f>+E20+E22+E24+E26</f>
        <v>9218783.9099999983</v>
      </c>
      <c r="F19" s="10">
        <f>+F20+F22+F24+F26</f>
        <v>-38216.089999999676</v>
      </c>
      <c r="G19" s="89">
        <f t="shared" si="0"/>
        <v>99.587165496381104</v>
      </c>
    </row>
    <row r="20" spans="1:14" ht="69.599999999999994" hidden="1" customHeight="1">
      <c r="A20" s="53" t="s">
        <v>345</v>
      </c>
      <c r="B20" s="14" t="s">
        <v>6</v>
      </c>
      <c r="C20" s="14" t="s">
        <v>26</v>
      </c>
      <c r="D20" s="10">
        <f>+D21</f>
        <v>4228000</v>
      </c>
      <c r="E20" s="10">
        <f t="shared" ref="E20:F20" si="4">+E21</f>
        <v>4196235.17</v>
      </c>
      <c r="F20" s="10">
        <f t="shared" si="4"/>
        <v>-31764.830000000075</v>
      </c>
      <c r="G20" s="89">
        <f t="shared" si="0"/>
        <v>99.248703169347209</v>
      </c>
    </row>
    <row r="21" spans="1:14" ht="102" hidden="1" customHeight="1">
      <c r="A21" s="53" t="s">
        <v>346</v>
      </c>
      <c r="B21" s="48">
        <v>100</v>
      </c>
      <c r="C21" s="49" t="s">
        <v>347</v>
      </c>
      <c r="D21" s="10">
        <f>3111000+1117000</f>
        <v>4228000</v>
      </c>
      <c r="E21" s="10">
        <v>4196235.17</v>
      </c>
      <c r="F21" s="10">
        <f t="shared" ref="F21" si="5">E21-D21</f>
        <v>-31764.830000000075</v>
      </c>
      <c r="G21" s="89">
        <f t="shared" si="0"/>
        <v>99.248703169347209</v>
      </c>
    </row>
    <row r="22" spans="1:14" ht="88.15" hidden="1" customHeight="1">
      <c r="A22" s="53" t="s">
        <v>348</v>
      </c>
      <c r="B22" s="14" t="s">
        <v>6</v>
      </c>
      <c r="C22" s="14" t="s">
        <v>27</v>
      </c>
      <c r="D22" s="10">
        <f>+D23</f>
        <v>29000</v>
      </c>
      <c r="E22" s="10">
        <f>+E23</f>
        <v>30843.43</v>
      </c>
      <c r="F22" s="10">
        <f>+F23</f>
        <v>1843.4300000000003</v>
      </c>
      <c r="G22" s="89">
        <f t="shared" si="0"/>
        <v>106.3566551724138</v>
      </c>
    </row>
    <row r="23" spans="1:14" ht="121.15" hidden="1" customHeight="1">
      <c r="A23" s="53" t="s">
        <v>349</v>
      </c>
      <c r="B23" s="14" t="s">
        <v>25</v>
      </c>
      <c r="C23" s="49" t="s">
        <v>350</v>
      </c>
      <c r="D23" s="10">
        <f>22000+1000+6000</f>
        <v>29000</v>
      </c>
      <c r="E23" s="10">
        <v>30843.43</v>
      </c>
      <c r="F23" s="10">
        <f t="shared" ref="F23" si="6">E23-D23</f>
        <v>1843.4300000000003</v>
      </c>
      <c r="G23" s="89">
        <f t="shared" si="0"/>
        <v>106.3566551724138</v>
      </c>
    </row>
    <row r="24" spans="1:14" ht="75" hidden="1" customHeight="1">
      <c r="A24" s="53" t="s">
        <v>28</v>
      </c>
      <c r="B24" s="14" t="s">
        <v>6</v>
      </c>
      <c r="C24" s="14" t="s">
        <v>29</v>
      </c>
      <c r="D24" s="10">
        <f>+D25</f>
        <v>5664000</v>
      </c>
      <c r="E24" s="10">
        <f>+E25</f>
        <v>5606184.4400000004</v>
      </c>
      <c r="F24" s="10">
        <f>+F25</f>
        <v>-57815.55999999959</v>
      </c>
      <c r="G24" s="89">
        <f t="shared" si="0"/>
        <v>98.979245056497177</v>
      </c>
    </row>
    <row r="25" spans="1:14" ht="109.9" hidden="1" customHeight="1">
      <c r="A25" s="53" t="s">
        <v>409</v>
      </c>
      <c r="B25" s="14" t="s">
        <v>25</v>
      </c>
      <c r="C25" s="49" t="s">
        <v>388</v>
      </c>
      <c r="D25" s="10">
        <f>6024000-360000</f>
        <v>5664000</v>
      </c>
      <c r="E25" s="10">
        <v>5606184.4400000004</v>
      </c>
      <c r="F25" s="10">
        <f t="shared" ref="F25:F27" si="7">E25-D25</f>
        <v>-57815.55999999959</v>
      </c>
      <c r="G25" s="89">
        <f t="shared" si="0"/>
        <v>98.979245056497177</v>
      </c>
    </row>
    <row r="26" spans="1:14" ht="74.45" hidden="1" customHeight="1">
      <c r="A26" s="53" t="s">
        <v>351</v>
      </c>
      <c r="B26" s="14" t="s">
        <v>6</v>
      </c>
      <c r="C26" s="14" t="s">
        <v>30</v>
      </c>
      <c r="D26" s="10">
        <f>+D27</f>
        <v>-664000</v>
      </c>
      <c r="E26" s="10">
        <f t="shared" ref="E26:F26" si="8">+E27</f>
        <v>-614479.13</v>
      </c>
      <c r="F26" s="10">
        <f t="shared" si="8"/>
        <v>49520.869999999995</v>
      </c>
      <c r="G26" s="89">
        <f t="shared" si="0"/>
        <v>92.54203765060241</v>
      </c>
    </row>
    <row r="27" spans="1:14" ht="97.15" hidden="1" customHeight="1">
      <c r="A27" s="53" t="s">
        <v>352</v>
      </c>
      <c r="B27" s="14" t="s">
        <v>25</v>
      </c>
      <c r="C27" s="49" t="s">
        <v>389</v>
      </c>
      <c r="D27" s="10">
        <f>-578000-80000-6000</f>
        <v>-664000</v>
      </c>
      <c r="E27" s="10">
        <v>-614479.13</v>
      </c>
      <c r="F27" s="10">
        <f t="shared" si="7"/>
        <v>49520.869999999995</v>
      </c>
      <c r="G27" s="89">
        <f t="shared" si="0"/>
        <v>92.54203765060241</v>
      </c>
    </row>
    <row r="28" spans="1:14" s="13" customFormat="1" ht="21" hidden="1" customHeight="1">
      <c r="A28" s="52" t="s">
        <v>31</v>
      </c>
      <c r="B28" s="14" t="s">
        <v>6</v>
      </c>
      <c r="C28" s="11" t="s">
        <v>32</v>
      </c>
      <c r="D28" s="10">
        <f>+D35+D38+D40+D29</f>
        <v>143446000</v>
      </c>
      <c r="E28" s="10">
        <f>+E35+E38+E40+E29</f>
        <v>139388228.24000001</v>
      </c>
      <c r="F28" s="10">
        <f>+F35+F38+F40+F29</f>
        <v>-4057771.7599999988</v>
      </c>
      <c r="G28" s="89">
        <f t="shared" si="0"/>
        <v>97.171219999163455</v>
      </c>
      <c r="H28" s="30"/>
      <c r="I28" s="60"/>
      <c r="J28" s="30"/>
      <c r="K28" s="30"/>
      <c r="L28" s="30"/>
      <c r="M28" s="30"/>
      <c r="N28" s="30"/>
    </row>
    <row r="29" spans="1:14" s="13" customFormat="1" ht="28.15" hidden="1" customHeight="1">
      <c r="A29" s="52" t="s">
        <v>33</v>
      </c>
      <c r="B29" s="14" t="s">
        <v>6</v>
      </c>
      <c r="C29" s="47" t="s">
        <v>34</v>
      </c>
      <c r="D29" s="10">
        <f>+D30+D32+D34</f>
        <v>74501000</v>
      </c>
      <c r="E29" s="10">
        <f t="shared" ref="E29:F29" si="9">+E30+E32+E34</f>
        <v>72900752.459999993</v>
      </c>
      <c r="F29" s="10">
        <f t="shared" si="9"/>
        <v>-1600247.540000001</v>
      </c>
      <c r="G29" s="89">
        <f t="shared" si="0"/>
        <v>97.852045556435471</v>
      </c>
      <c r="H29" s="30"/>
      <c r="I29" s="60"/>
      <c r="J29" s="30"/>
      <c r="K29" s="30"/>
      <c r="L29" s="30"/>
      <c r="M29" s="30"/>
      <c r="N29" s="30"/>
    </row>
    <row r="30" spans="1:14" s="13" customFormat="1" ht="28.15" hidden="1" customHeight="1">
      <c r="A30" s="52" t="s">
        <v>35</v>
      </c>
      <c r="B30" s="14" t="s">
        <v>6</v>
      </c>
      <c r="C30" s="47" t="s">
        <v>36</v>
      </c>
      <c r="D30" s="10">
        <f>+D31</f>
        <v>53000000</v>
      </c>
      <c r="E30" s="10">
        <f>+E31</f>
        <v>51175554.219999999</v>
      </c>
      <c r="F30" s="10">
        <f>+F31</f>
        <v>-1824445.7800000012</v>
      </c>
      <c r="G30" s="89">
        <f t="shared" si="0"/>
        <v>96.557649471698113</v>
      </c>
      <c r="H30" s="30"/>
      <c r="I30" s="60"/>
      <c r="J30" s="30"/>
      <c r="K30" s="30"/>
      <c r="L30" s="30"/>
      <c r="M30" s="30"/>
      <c r="N30" s="30"/>
    </row>
    <row r="31" spans="1:14" s="13" customFormat="1" ht="27.6" hidden="1" customHeight="1">
      <c r="A31" s="52" t="s">
        <v>35</v>
      </c>
      <c r="B31" s="14" t="s">
        <v>13</v>
      </c>
      <c r="C31" s="47" t="s">
        <v>37</v>
      </c>
      <c r="D31" s="10">
        <f>55000000-2000000</f>
        <v>53000000</v>
      </c>
      <c r="E31" s="10">
        <v>51175554.219999999</v>
      </c>
      <c r="F31" s="10">
        <f t="shared" ref="F31" si="10">E31-D31</f>
        <v>-1824445.7800000012</v>
      </c>
      <c r="G31" s="89">
        <f t="shared" si="0"/>
        <v>96.557649471698113</v>
      </c>
      <c r="H31" s="30"/>
      <c r="I31" s="60"/>
      <c r="J31" s="30"/>
      <c r="K31" s="30"/>
      <c r="L31" s="30"/>
      <c r="M31" s="30"/>
      <c r="N31" s="30"/>
    </row>
    <row r="32" spans="1:14" s="13" customFormat="1" ht="41.45" hidden="1" customHeight="1">
      <c r="A32" s="52" t="s">
        <v>38</v>
      </c>
      <c r="B32" s="14" t="s">
        <v>6</v>
      </c>
      <c r="C32" s="47" t="s">
        <v>39</v>
      </c>
      <c r="D32" s="10">
        <f>+D33</f>
        <v>21500000</v>
      </c>
      <c r="E32" s="10">
        <f t="shared" ref="E32:F32" si="11">+E33</f>
        <v>21724801.16</v>
      </c>
      <c r="F32" s="10">
        <f t="shared" si="11"/>
        <v>224801.16000000015</v>
      </c>
      <c r="G32" s="89">
        <f t="shared" si="0"/>
        <v>101.04558679069768</v>
      </c>
      <c r="H32" s="30"/>
      <c r="I32" s="60"/>
      <c r="J32" s="30"/>
      <c r="K32" s="30"/>
      <c r="L32" s="30"/>
      <c r="M32" s="30"/>
      <c r="N32" s="30"/>
    </row>
    <row r="33" spans="1:14" s="13" customFormat="1" ht="55.15" hidden="1" customHeight="1">
      <c r="A33" s="52" t="s">
        <v>40</v>
      </c>
      <c r="B33" s="14" t="s">
        <v>13</v>
      </c>
      <c r="C33" s="47" t="s">
        <v>41</v>
      </c>
      <c r="D33" s="10">
        <v>21500000</v>
      </c>
      <c r="E33" s="10">
        <v>21724801.16</v>
      </c>
      <c r="F33" s="10">
        <f t="shared" ref="F33:F34" si="12">E33-D33</f>
        <v>224801.16000000015</v>
      </c>
      <c r="G33" s="89">
        <f t="shared" si="0"/>
        <v>101.04558679069768</v>
      </c>
      <c r="H33" s="30"/>
      <c r="I33" s="60"/>
      <c r="J33" s="30"/>
      <c r="K33" s="30"/>
      <c r="L33" s="30"/>
      <c r="M33" s="30"/>
      <c r="N33" s="30"/>
    </row>
    <row r="34" spans="1:14" s="13" customFormat="1" ht="43.9" hidden="1" customHeight="1">
      <c r="A34" s="52" t="s">
        <v>436</v>
      </c>
      <c r="B34" s="14" t="s">
        <v>13</v>
      </c>
      <c r="C34" s="47" t="s">
        <v>435</v>
      </c>
      <c r="D34" s="10">
        <v>1000</v>
      </c>
      <c r="E34" s="10">
        <v>397.08</v>
      </c>
      <c r="F34" s="10">
        <f t="shared" si="12"/>
        <v>-602.92000000000007</v>
      </c>
      <c r="G34" s="89">
        <f t="shared" si="0"/>
        <v>39.707999999999998</v>
      </c>
      <c r="H34" s="30"/>
      <c r="I34" s="60"/>
      <c r="J34" s="30"/>
      <c r="K34" s="30"/>
      <c r="L34" s="30"/>
      <c r="M34" s="30"/>
      <c r="N34" s="30"/>
    </row>
    <row r="35" spans="1:14" ht="28.9" hidden="1" customHeight="1">
      <c r="A35" s="52" t="s">
        <v>42</v>
      </c>
      <c r="B35" s="14" t="s">
        <v>6</v>
      </c>
      <c r="C35" s="11" t="s">
        <v>43</v>
      </c>
      <c r="D35" s="10">
        <f>+D36+D37</f>
        <v>68418000</v>
      </c>
      <c r="E35" s="10">
        <f>+E36+E37</f>
        <v>65884554.450000003</v>
      </c>
      <c r="F35" s="10">
        <f>+F36+F37</f>
        <v>-2533445.549999998</v>
      </c>
      <c r="G35" s="89">
        <f t="shared" si="0"/>
        <v>96.297106682451997</v>
      </c>
    </row>
    <row r="36" spans="1:14" ht="25.5" hidden="1">
      <c r="A36" s="52" t="s">
        <v>42</v>
      </c>
      <c r="B36" s="14" t="s">
        <v>13</v>
      </c>
      <c r="C36" s="11" t="s">
        <v>44</v>
      </c>
      <c r="D36" s="10">
        <f>76320000-5711000-340000+100000-1900000-80000</f>
        <v>68389000</v>
      </c>
      <c r="E36" s="10">
        <v>65878827.990000002</v>
      </c>
      <c r="F36" s="10">
        <f t="shared" ref="F36:F41" si="13">E36-D36</f>
        <v>-2510172.0099999979</v>
      </c>
      <c r="G36" s="89">
        <f t="shared" si="0"/>
        <v>96.329567605901531</v>
      </c>
    </row>
    <row r="37" spans="1:14" ht="43.15" hidden="1" customHeight="1">
      <c r="A37" s="19" t="s">
        <v>45</v>
      </c>
      <c r="B37" s="14" t="s">
        <v>13</v>
      </c>
      <c r="C37" s="15" t="s">
        <v>46</v>
      </c>
      <c r="D37" s="10">
        <f>4000+25000</f>
        <v>29000</v>
      </c>
      <c r="E37" s="10">
        <v>5726.46</v>
      </c>
      <c r="F37" s="10">
        <f t="shared" si="13"/>
        <v>-23273.54</v>
      </c>
      <c r="G37" s="89">
        <f t="shared" si="0"/>
        <v>19.74641379310345</v>
      </c>
    </row>
    <row r="38" spans="1:14" ht="15" hidden="1" customHeight="1">
      <c r="A38" s="19" t="s">
        <v>47</v>
      </c>
      <c r="B38" s="14" t="s">
        <v>6</v>
      </c>
      <c r="C38" s="15" t="s">
        <v>48</v>
      </c>
      <c r="D38" s="10">
        <f>+D39</f>
        <v>37000</v>
      </c>
      <c r="E38" s="10">
        <f>+E39</f>
        <v>36937.9</v>
      </c>
      <c r="F38" s="10">
        <f>+F39</f>
        <v>-62.099999999998545</v>
      </c>
      <c r="G38" s="89">
        <f t="shared" si="0"/>
        <v>99.832162162162163</v>
      </c>
    </row>
    <row r="39" spans="1:14" ht="16.149999999999999" hidden="1" customHeight="1">
      <c r="A39" s="19" t="s">
        <v>47</v>
      </c>
      <c r="B39" s="14" t="s">
        <v>13</v>
      </c>
      <c r="C39" s="15" t="s">
        <v>49</v>
      </c>
      <c r="D39" s="10">
        <f>30000+6000+1000</f>
        <v>37000</v>
      </c>
      <c r="E39" s="10">
        <v>36937.9</v>
      </c>
      <c r="F39" s="10">
        <f t="shared" si="13"/>
        <v>-62.099999999998545</v>
      </c>
      <c r="G39" s="89">
        <f t="shared" si="0"/>
        <v>99.832162162162163</v>
      </c>
    </row>
    <row r="40" spans="1:14" ht="27" hidden="1" customHeight="1">
      <c r="A40" s="19" t="s">
        <v>50</v>
      </c>
      <c r="B40" s="14" t="s">
        <v>6</v>
      </c>
      <c r="C40" s="15" t="s">
        <v>51</v>
      </c>
      <c r="D40" s="10">
        <f>+D41</f>
        <v>490000</v>
      </c>
      <c r="E40" s="10">
        <f>+E41</f>
        <v>565983.43000000005</v>
      </c>
      <c r="F40" s="10">
        <f>+F41</f>
        <v>75983.430000000051</v>
      </c>
      <c r="G40" s="89">
        <f t="shared" si="0"/>
        <v>115.50682244897961</v>
      </c>
    </row>
    <row r="41" spans="1:14" ht="30" hidden="1" customHeight="1">
      <c r="A41" s="19" t="s">
        <v>52</v>
      </c>
      <c r="B41" s="14" t="s">
        <v>13</v>
      </c>
      <c r="C41" s="15" t="s">
        <v>53</v>
      </c>
      <c r="D41" s="10">
        <f>410000+80000</f>
        <v>490000</v>
      </c>
      <c r="E41" s="10">
        <v>565983.43000000005</v>
      </c>
      <c r="F41" s="10">
        <f t="shared" si="13"/>
        <v>75983.430000000051</v>
      </c>
      <c r="G41" s="89">
        <f t="shared" si="0"/>
        <v>115.50682244897961</v>
      </c>
    </row>
    <row r="42" spans="1:14" s="13" customFormat="1" ht="17.45" hidden="1" customHeight="1">
      <c r="A42" s="52" t="s">
        <v>54</v>
      </c>
      <c r="B42" s="14" t="s">
        <v>6</v>
      </c>
      <c r="C42" s="11" t="s">
        <v>55</v>
      </c>
      <c r="D42" s="10">
        <f>+D43+D45</f>
        <v>69400000</v>
      </c>
      <c r="E42" s="10">
        <f>+E43+E45</f>
        <v>70814337.170000002</v>
      </c>
      <c r="F42" s="10">
        <f>+F43+F45</f>
        <v>1414337.1699999981</v>
      </c>
      <c r="G42" s="89">
        <f t="shared" si="0"/>
        <v>102.03794981268013</v>
      </c>
      <c r="H42" s="30"/>
      <c r="I42" s="60"/>
      <c r="J42" s="30"/>
      <c r="K42" s="30"/>
      <c r="L42" s="30"/>
      <c r="M42" s="30"/>
      <c r="N42" s="30"/>
    </row>
    <row r="43" spans="1:14" ht="17.45" hidden="1" customHeight="1">
      <c r="A43" s="52" t="s">
        <v>56</v>
      </c>
      <c r="B43" s="14" t="s">
        <v>6</v>
      </c>
      <c r="C43" s="11" t="s">
        <v>57</v>
      </c>
      <c r="D43" s="10">
        <f>+D44</f>
        <v>21400000</v>
      </c>
      <c r="E43" s="10">
        <f>+E44</f>
        <v>22162140.41</v>
      </c>
      <c r="F43" s="10">
        <f>+F44</f>
        <v>762140.41000000015</v>
      </c>
      <c r="G43" s="89">
        <f t="shared" si="0"/>
        <v>103.56140378504672</v>
      </c>
    </row>
    <row r="44" spans="1:14" ht="45" hidden="1" customHeight="1">
      <c r="A44" s="52" t="s">
        <v>58</v>
      </c>
      <c r="B44" s="14" t="s">
        <v>13</v>
      </c>
      <c r="C44" s="11" t="s">
        <v>59</v>
      </c>
      <c r="D44" s="10">
        <v>21400000</v>
      </c>
      <c r="E44" s="10">
        <v>22162140.41</v>
      </c>
      <c r="F44" s="10">
        <f t="shared" ref="F44" si="14">E44-D44</f>
        <v>762140.41000000015</v>
      </c>
      <c r="G44" s="89">
        <f t="shared" si="0"/>
        <v>103.56140378504672</v>
      </c>
    </row>
    <row r="45" spans="1:14" ht="18" hidden="1" customHeight="1">
      <c r="A45" s="53" t="s">
        <v>60</v>
      </c>
      <c r="B45" s="14" t="s">
        <v>6</v>
      </c>
      <c r="C45" s="14" t="s">
        <v>61</v>
      </c>
      <c r="D45" s="10">
        <f>+D46+D48</f>
        <v>48000000</v>
      </c>
      <c r="E45" s="10">
        <f>+E46+E48</f>
        <v>48652196.759999998</v>
      </c>
      <c r="F45" s="10">
        <f>+F46+F48</f>
        <v>652196.75999999791</v>
      </c>
      <c r="G45" s="89">
        <f t="shared" si="0"/>
        <v>101.35874325</v>
      </c>
    </row>
    <row r="46" spans="1:14" ht="25.9" hidden="1" customHeight="1">
      <c r="A46" s="53" t="s">
        <v>62</v>
      </c>
      <c r="B46" s="14" t="s">
        <v>6</v>
      </c>
      <c r="C46" s="14" t="s">
        <v>63</v>
      </c>
      <c r="D46" s="10">
        <f>+D47</f>
        <v>35000000</v>
      </c>
      <c r="E46" s="10">
        <f>+E47</f>
        <v>34872588.549999997</v>
      </c>
      <c r="F46" s="10">
        <f>+F47</f>
        <v>-127411.45000000298</v>
      </c>
      <c r="G46" s="89">
        <f t="shared" si="0"/>
        <v>99.635967285714273</v>
      </c>
    </row>
    <row r="47" spans="1:14" ht="33" hidden="1" customHeight="1">
      <c r="A47" s="53" t="s">
        <v>64</v>
      </c>
      <c r="B47" s="14" t="s">
        <v>13</v>
      </c>
      <c r="C47" s="14" t="s">
        <v>65</v>
      </c>
      <c r="D47" s="10">
        <f>33300000+1700000</f>
        <v>35000000</v>
      </c>
      <c r="E47" s="10">
        <v>34872588.549999997</v>
      </c>
      <c r="F47" s="10">
        <f t="shared" ref="F47" si="15">E47-D47</f>
        <v>-127411.45000000298</v>
      </c>
      <c r="G47" s="89">
        <f t="shared" si="0"/>
        <v>99.635967285714273</v>
      </c>
    </row>
    <row r="48" spans="1:14" ht="21.6" hidden="1" customHeight="1">
      <c r="A48" s="53" t="s">
        <v>66</v>
      </c>
      <c r="B48" s="14" t="s">
        <v>6</v>
      </c>
      <c r="C48" s="14" t="s">
        <v>67</v>
      </c>
      <c r="D48" s="10">
        <f>+D49</f>
        <v>13000000</v>
      </c>
      <c r="E48" s="10">
        <f>+E49</f>
        <v>13779608.210000001</v>
      </c>
      <c r="F48" s="10">
        <f>+F49</f>
        <v>779608.21000000089</v>
      </c>
      <c r="G48" s="89">
        <f t="shared" si="0"/>
        <v>105.99698623076922</v>
      </c>
    </row>
    <row r="49" spans="1:14" ht="32.450000000000003" hidden="1" customHeight="1">
      <c r="A49" s="53" t="s">
        <v>68</v>
      </c>
      <c r="B49" s="14" t="s">
        <v>13</v>
      </c>
      <c r="C49" s="14" t="s">
        <v>69</v>
      </c>
      <c r="D49" s="10">
        <f>10500000+2500000</f>
        <v>13000000</v>
      </c>
      <c r="E49" s="10">
        <v>13779608.210000001</v>
      </c>
      <c r="F49" s="10">
        <f t="shared" ref="F49" si="16">E49-D49</f>
        <v>779608.21000000089</v>
      </c>
      <c r="G49" s="89">
        <f t="shared" si="0"/>
        <v>105.99698623076922</v>
      </c>
    </row>
    <row r="50" spans="1:14" s="16" customFormat="1" ht="21" hidden="1" customHeight="1">
      <c r="A50" s="52" t="s">
        <v>70</v>
      </c>
      <c r="B50" s="8" t="s">
        <v>6</v>
      </c>
      <c r="C50" s="11" t="s">
        <v>71</v>
      </c>
      <c r="D50" s="10">
        <f>+D51+D53</f>
        <v>20171000</v>
      </c>
      <c r="E50" s="10">
        <f>+E51+E53</f>
        <v>20857712.370000001</v>
      </c>
      <c r="F50" s="10">
        <f>+F51+F53</f>
        <v>686712.37000000104</v>
      </c>
      <c r="G50" s="89">
        <f t="shared" si="0"/>
        <v>103.40445377026424</v>
      </c>
      <c r="H50" s="60"/>
      <c r="I50" s="60"/>
      <c r="J50" s="60"/>
      <c r="K50" s="60"/>
      <c r="L50" s="60"/>
      <c r="M50" s="60"/>
      <c r="N50" s="60"/>
    </row>
    <row r="51" spans="1:14" s="16" customFormat="1" ht="29.45" hidden="1" customHeight="1">
      <c r="A51" s="52" t="s">
        <v>397</v>
      </c>
      <c r="B51" s="14" t="s">
        <v>6</v>
      </c>
      <c r="C51" s="11" t="s">
        <v>72</v>
      </c>
      <c r="D51" s="10">
        <f>+D52</f>
        <v>18350000</v>
      </c>
      <c r="E51" s="10">
        <f>+E52</f>
        <v>19027312.370000001</v>
      </c>
      <c r="F51" s="10">
        <f>+F52</f>
        <v>677312.37000000104</v>
      </c>
      <c r="G51" s="89">
        <f t="shared" si="0"/>
        <v>103.69107558583106</v>
      </c>
      <c r="H51" s="60"/>
      <c r="I51" s="60"/>
      <c r="J51" s="60"/>
      <c r="K51" s="60"/>
      <c r="L51" s="60"/>
      <c r="M51" s="60"/>
      <c r="N51" s="60"/>
    </row>
    <row r="52" spans="1:14" ht="44.45" hidden="1" customHeight="1">
      <c r="A52" s="52" t="s">
        <v>73</v>
      </c>
      <c r="B52" s="14" t="s">
        <v>13</v>
      </c>
      <c r="C52" s="11" t="s">
        <v>74</v>
      </c>
      <c r="D52" s="10">
        <f>19600000-1250000</f>
        <v>18350000</v>
      </c>
      <c r="E52" s="10">
        <v>19027312.370000001</v>
      </c>
      <c r="F52" s="10">
        <f t="shared" ref="F52" si="17">E52-D52</f>
        <v>677312.37000000104</v>
      </c>
      <c r="G52" s="89">
        <f t="shared" si="0"/>
        <v>103.69107558583106</v>
      </c>
    </row>
    <row r="53" spans="1:14" ht="33" hidden="1" customHeight="1">
      <c r="A53" s="52" t="s">
        <v>75</v>
      </c>
      <c r="B53" s="8" t="s">
        <v>6</v>
      </c>
      <c r="C53" s="11" t="s">
        <v>76</v>
      </c>
      <c r="D53" s="10">
        <f>+D54+D55</f>
        <v>1821000</v>
      </c>
      <c r="E53" s="10">
        <f>+E54+E55</f>
        <v>1830400</v>
      </c>
      <c r="F53" s="10">
        <f>+F54+F55</f>
        <v>9400</v>
      </c>
      <c r="G53" s="89">
        <f t="shared" si="0"/>
        <v>100.51619989017024</v>
      </c>
    </row>
    <row r="54" spans="1:14" ht="29.45" hidden="1" customHeight="1">
      <c r="A54" s="95" t="s">
        <v>77</v>
      </c>
      <c r="B54" s="96" t="s">
        <v>78</v>
      </c>
      <c r="C54" s="97" t="s">
        <v>79</v>
      </c>
      <c r="D54" s="90">
        <v>0</v>
      </c>
      <c r="E54" s="90">
        <v>0</v>
      </c>
      <c r="F54" s="90">
        <f t="shared" ref="F54" si="18">E54-D54</f>
        <v>0</v>
      </c>
      <c r="G54" s="92">
        <v>0</v>
      </c>
    </row>
    <row r="55" spans="1:14" ht="54" hidden="1" customHeight="1">
      <c r="A55" s="52" t="s">
        <v>80</v>
      </c>
      <c r="B55" s="8" t="s">
        <v>6</v>
      </c>
      <c r="C55" s="47" t="s">
        <v>81</v>
      </c>
      <c r="D55" s="10">
        <f>+D56</f>
        <v>1821000</v>
      </c>
      <c r="E55" s="10">
        <f>+E56</f>
        <v>1830400</v>
      </c>
      <c r="F55" s="10">
        <f>+F56</f>
        <v>9400</v>
      </c>
      <c r="G55" s="89">
        <f t="shared" si="0"/>
        <v>100.51619989017024</v>
      </c>
    </row>
    <row r="56" spans="1:14" ht="81.599999999999994" customHeight="1">
      <c r="A56" s="52" t="s">
        <v>82</v>
      </c>
      <c r="B56" s="8" t="s">
        <v>83</v>
      </c>
      <c r="C56" s="11" t="s">
        <v>84</v>
      </c>
      <c r="D56" s="10">
        <f>2250000-506000+77000</f>
        <v>1821000</v>
      </c>
      <c r="E56" s="10">
        <v>1830400</v>
      </c>
      <c r="F56" s="10">
        <f t="shared" ref="F56" si="19">E56-D56</f>
        <v>9400</v>
      </c>
      <c r="G56" s="89">
        <f t="shared" si="0"/>
        <v>100.51619989017024</v>
      </c>
    </row>
    <row r="57" spans="1:14" s="13" customFormat="1" ht="48.75" hidden="1" customHeight="1">
      <c r="A57" s="52" t="s">
        <v>85</v>
      </c>
      <c r="B57" s="14" t="s">
        <v>6</v>
      </c>
      <c r="C57" s="11" t="s">
        <v>86</v>
      </c>
      <c r="D57" s="10">
        <f>+D58+D60+D62</f>
        <v>1800</v>
      </c>
      <c r="E57" s="10">
        <f>+E58+E60+E62</f>
        <v>1764.67</v>
      </c>
      <c r="F57" s="10">
        <f>+F58+F60+F62</f>
        <v>-35.329999999999934</v>
      </c>
      <c r="G57" s="89">
        <f t="shared" si="0"/>
        <v>98.037222222222226</v>
      </c>
      <c r="H57" s="30"/>
      <c r="I57" s="60"/>
      <c r="J57" s="30"/>
      <c r="K57" s="30"/>
      <c r="L57" s="30"/>
      <c r="M57" s="30"/>
      <c r="N57" s="30"/>
    </row>
    <row r="58" spans="1:14" s="13" customFormat="1" ht="15.6" hidden="1" customHeight="1">
      <c r="A58" s="52" t="s">
        <v>437</v>
      </c>
      <c r="B58" s="14" t="s">
        <v>6</v>
      </c>
      <c r="C58" s="11" t="s">
        <v>439</v>
      </c>
      <c r="D58" s="10">
        <f>+D59</f>
        <v>1500</v>
      </c>
      <c r="E58" s="10">
        <f>+E59</f>
        <v>1425.4</v>
      </c>
      <c r="F58" s="10">
        <f>+F59</f>
        <v>-74.599999999999909</v>
      </c>
      <c r="G58" s="89">
        <f t="shared" si="0"/>
        <v>95.026666666666671</v>
      </c>
      <c r="H58" s="30"/>
      <c r="I58" s="60"/>
      <c r="J58" s="30"/>
      <c r="K58" s="30"/>
      <c r="L58" s="30"/>
      <c r="M58" s="30"/>
      <c r="N58" s="30"/>
    </row>
    <row r="59" spans="1:14" s="13" customFormat="1" ht="18.600000000000001" hidden="1" customHeight="1">
      <c r="A59" s="52" t="s">
        <v>438</v>
      </c>
      <c r="B59" s="14" t="s">
        <v>13</v>
      </c>
      <c r="C59" s="11" t="s">
        <v>440</v>
      </c>
      <c r="D59" s="10">
        <v>1500</v>
      </c>
      <c r="E59" s="10">
        <v>1425.4</v>
      </c>
      <c r="F59" s="10">
        <f t="shared" ref="F59" si="20">E59-D59</f>
        <v>-74.599999999999909</v>
      </c>
      <c r="G59" s="89">
        <f t="shared" si="0"/>
        <v>95.026666666666671</v>
      </c>
      <c r="H59" s="30"/>
      <c r="I59" s="60"/>
      <c r="J59" s="30"/>
      <c r="K59" s="30"/>
      <c r="L59" s="30"/>
      <c r="M59" s="30"/>
      <c r="N59" s="30"/>
    </row>
    <row r="60" spans="1:14" ht="29.45" hidden="1" customHeight="1">
      <c r="A60" s="52" t="s">
        <v>87</v>
      </c>
      <c r="B60" s="14" t="s">
        <v>6</v>
      </c>
      <c r="C60" s="11" t="s">
        <v>88</v>
      </c>
      <c r="D60" s="10">
        <f t="shared" ref="D60:F60" si="21">+D61</f>
        <v>300</v>
      </c>
      <c r="E60" s="10">
        <f t="shared" si="21"/>
        <v>336.15</v>
      </c>
      <c r="F60" s="10">
        <f t="shared" si="21"/>
        <v>36.149999999999977</v>
      </c>
      <c r="G60" s="89">
        <f t="shared" si="0"/>
        <v>112.04999999999998</v>
      </c>
    </row>
    <row r="61" spans="1:14" ht="16.899999999999999" hidden="1" customHeight="1">
      <c r="A61" s="52" t="s">
        <v>89</v>
      </c>
      <c r="B61" s="14" t="s">
        <v>13</v>
      </c>
      <c r="C61" s="11" t="s">
        <v>90</v>
      </c>
      <c r="D61" s="10">
        <v>300</v>
      </c>
      <c r="E61" s="10">
        <v>336.15</v>
      </c>
      <c r="F61" s="10">
        <f t="shared" ref="F61" si="22">E61-D61</f>
        <v>36.149999999999977</v>
      </c>
      <c r="G61" s="89">
        <f t="shared" si="0"/>
        <v>112.04999999999998</v>
      </c>
    </row>
    <row r="62" spans="1:14" ht="31.15" hidden="1" customHeight="1">
      <c r="A62" s="104" t="s">
        <v>470</v>
      </c>
      <c r="B62" s="101" t="s">
        <v>6</v>
      </c>
      <c r="C62" s="105" t="s">
        <v>464</v>
      </c>
      <c r="D62" s="102">
        <f>D63</f>
        <v>0</v>
      </c>
      <c r="E62" s="102">
        <f t="shared" ref="E62:G62" si="23">E63</f>
        <v>3.12</v>
      </c>
      <c r="F62" s="102">
        <f t="shared" si="23"/>
        <v>3.12</v>
      </c>
      <c r="G62" s="102">
        <f t="shared" si="23"/>
        <v>0</v>
      </c>
    </row>
    <row r="63" spans="1:14" ht="45" hidden="1" customHeight="1">
      <c r="A63" s="104" t="s">
        <v>469</v>
      </c>
      <c r="B63" s="101" t="s">
        <v>6</v>
      </c>
      <c r="C63" s="105" t="s">
        <v>453</v>
      </c>
      <c r="D63" s="102">
        <f>D64</f>
        <v>0</v>
      </c>
      <c r="E63" s="102">
        <f>E64</f>
        <v>3.12</v>
      </c>
      <c r="F63" s="102">
        <f t="shared" ref="F63:F64" si="24">E63-D63</f>
        <v>3.12</v>
      </c>
      <c r="G63" s="103">
        <v>0</v>
      </c>
    </row>
    <row r="64" spans="1:14" ht="60.6" hidden="1" customHeight="1">
      <c r="A64" s="104" t="s">
        <v>471</v>
      </c>
      <c r="B64" s="101" t="s">
        <v>13</v>
      </c>
      <c r="C64" s="106" t="s">
        <v>472</v>
      </c>
      <c r="D64" s="102">
        <v>0</v>
      </c>
      <c r="E64" s="102">
        <v>3.12</v>
      </c>
      <c r="F64" s="102">
        <f t="shared" si="24"/>
        <v>3.12</v>
      </c>
      <c r="G64" s="103">
        <v>0</v>
      </c>
      <c r="H64" s="98"/>
    </row>
    <row r="65" spans="1:14" s="13" customFormat="1" ht="46.15" hidden="1" customHeight="1">
      <c r="A65" s="52" t="s">
        <v>91</v>
      </c>
      <c r="B65" s="8" t="s">
        <v>6</v>
      </c>
      <c r="C65" s="11" t="s">
        <v>92</v>
      </c>
      <c r="D65" s="10">
        <f>+D66+D73+D76</f>
        <v>82548312</v>
      </c>
      <c r="E65" s="10">
        <f t="shared" ref="E65:F65" si="25">+E66+E73+E76</f>
        <v>80547723.700000003</v>
      </c>
      <c r="F65" s="10">
        <f t="shared" si="25"/>
        <v>-2000588.2999999996</v>
      </c>
      <c r="G65" s="89">
        <f t="shared" si="0"/>
        <v>97.576463707701251</v>
      </c>
      <c r="H65" s="30"/>
      <c r="I65" s="60"/>
      <c r="J65" s="30"/>
      <c r="K65" s="30"/>
      <c r="L65" s="30"/>
      <c r="M65" s="30"/>
      <c r="N65" s="30"/>
    </row>
    <row r="66" spans="1:14" ht="86.45" hidden="1" customHeight="1">
      <c r="A66" s="52" t="s">
        <v>93</v>
      </c>
      <c r="B66" s="8" t="s">
        <v>6</v>
      </c>
      <c r="C66" s="11" t="s">
        <v>94</v>
      </c>
      <c r="D66" s="10">
        <f>D67+D69+D71</f>
        <v>75570902</v>
      </c>
      <c r="E66" s="10">
        <f>E67+E69+E71</f>
        <v>73809195.450000003</v>
      </c>
      <c r="F66" s="10">
        <f>F67+F69+F71</f>
        <v>-1761706.5499999998</v>
      </c>
      <c r="G66" s="89">
        <f t="shared" si="0"/>
        <v>97.668803066555967</v>
      </c>
    </row>
    <row r="67" spans="1:14" ht="63" hidden="1" customHeight="1">
      <c r="A67" s="52" t="s">
        <v>95</v>
      </c>
      <c r="B67" s="8" t="s">
        <v>6</v>
      </c>
      <c r="C67" s="11" t="s">
        <v>96</v>
      </c>
      <c r="D67" s="10">
        <f>+D68</f>
        <v>60631902</v>
      </c>
      <c r="E67" s="10">
        <f>+E68</f>
        <v>58761929.390000001</v>
      </c>
      <c r="F67" s="10">
        <f>+F68</f>
        <v>-1869972.6099999994</v>
      </c>
      <c r="G67" s="89">
        <f t="shared" si="0"/>
        <v>96.915860218272556</v>
      </c>
    </row>
    <row r="68" spans="1:14" ht="73.900000000000006" hidden="1" customHeight="1">
      <c r="A68" s="52" t="s">
        <v>97</v>
      </c>
      <c r="B68" s="8" t="s">
        <v>78</v>
      </c>
      <c r="C68" s="11" t="s">
        <v>98</v>
      </c>
      <c r="D68" s="10">
        <f>52613000+300000+8005000-286098</f>
        <v>60631902</v>
      </c>
      <c r="E68" s="10">
        <v>58761929.390000001</v>
      </c>
      <c r="F68" s="10">
        <f t="shared" ref="F68" si="26">E68-D68</f>
        <v>-1869972.6099999994</v>
      </c>
      <c r="G68" s="89">
        <f t="shared" si="0"/>
        <v>96.915860218272556</v>
      </c>
    </row>
    <row r="69" spans="1:14" ht="70.150000000000006" hidden="1" customHeight="1">
      <c r="A69" s="19" t="s">
        <v>99</v>
      </c>
      <c r="B69" s="8" t="s">
        <v>6</v>
      </c>
      <c r="C69" s="11" t="s">
        <v>100</v>
      </c>
      <c r="D69" s="10">
        <f>+D70</f>
        <v>8964000</v>
      </c>
      <c r="E69" s="10">
        <f>+E70</f>
        <v>9052333</v>
      </c>
      <c r="F69" s="10">
        <f>+F70</f>
        <v>88333</v>
      </c>
      <c r="G69" s="89">
        <f t="shared" si="0"/>
        <v>100.98541945560018</v>
      </c>
    </row>
    <row r="70" spans="1:14" ht="69" hidden="1" customHeight="1">
      <c r="A70" s="19" t="s">
        <v>101</v>
      </c>
      <c r="B70" s="8" t="s">
        <v>78</v>
      </c>
      <c r="C70" s="11" t="s">
        <v>102</v>
      </c>
      <c r="D70" s="10">
        <f>12830000-3866000</f>
        <v>8964000</v>
      </c>
      <c r="E70" s="10">
        <v>9052333</v>
      </c>
      <c r="F70" s="10">
        <f t="shared" ref="F70:F72" si="27">E70-D70</f>
        <v>88333</v>
      </c>
      <c r="G70" s="89">
        <f t="shared" si="0"/>
        <v>100.98541945560018</v>
      </c>
    </row>
    <row r="71" spans="1:14" ht="42" hidden="1" customHeight="1">
      <c r="A71" s="19" t="s">
        <v>103</v>
      </c>
      <c r="B71" s="8" t="s">
        <v>6</v>
      </c>
      <c r="C71" s="11" t="s">
        <v>104</v>
      </c>
      <c r="D71" s="10">
        <f>+D72</f>
        <v>5975000</v>
      </c>
      <c r="E71" s="10">
        <f>+E72</f>
        <v>5994933.0599999996</v>
      </c>
      <c r="F71" s="10">
        <f>+F72</f>
        <v>19933.05999999959</v>
      </c>
      <c r="G71" s="89">
        <f t="shared" si="0"/>
        <v>100.33360769874476</v>
      </c>
    </row>
    <row r="72" spans="1:14" ht="27.6" hidden="1" customHeight="1">
      <c r="A72" s="19" t="s">
        <v>105</v>
      </c>
      <c r="B72" s="8" t="s">
        <v>78</v>
      </c>
      <c r="C72" s="11" t="s">
        <v>106</v>
      </c>
      <c r="D72" s="10">
        <f>6445000-200000-270000</f>
        <v>5975000</v>
      </c>
      <c r="E72" s="10">
        <v>5994933.0599999996</v>
      </c>
      <c r="F72" s="10">
        <f t="shared" si="27"/>
        <v>19933.05999999959</v>
      </c>
      <c r="G72" s="89">
        <f t="shared" si="0"/>
        <v>100.33360769874476</v>
      </c>
    </row>
    <row r="73" spans="1:14" ht="28.15" hidden="1" customHeight="1">
      <c r="A73" s="52" t="s">
        <v>107</v>
      </c>
      <c r="B73" s="8" t="s">
        <v>6</v>
      </c>
      <c r="C73" s="11" t="s">
        <v>108</v>
      </c>
      <c r="D73" s="10">
        <f t="shared" ref="D73:F74" si="28">+D74</f>
        <v>58410</v>
      </c>
      <c r="E73" s="10">
        <f t="shared" si="28"/>
        <v>58410</v>
      </c>
      <c r="F73" s="10">
        <f t="shared" si="28"/>
        <v>0</v>
      </c>
      <c r="G73" s="89">
        <f t="shared" si="0"/>
        <v>100</v>
      </c>
    </row>
    <row r="74" spans="1:14" ht="45" hidden="1" customHeight="1">
      <c r="A74" s="52" t="s">
        <v>109</v>
      </c>
      <c r="B74" s="8" t="s">
        <v>6</v>
      </c>
      <c r="C74" s="11" t="s">
        <v>110</v>
      </c>
      <c r="D74" s="10">
        <f t="shared" si="28"/>
        <v>58410</v>
      </c>
      <c r="E74" s="10">
        <f t="shared" si="28"/>
        <v>58410</v>
      </c>
      <c r="F74" s="10">
        <f t="shared" si="28"/>
        <v>0</v>
      </c>
      <c r="G74" s="89">
        <f t="shared" si="0"/>
        <v>100</v>
      </c>
    </row>
    <row r="75" spans="1:14" ht="42" hidden="1" customHeight="1">
      <c r="A75" s="52" t="s">
        <v>111</v>
      </c>
      <c r="B75" s="8" t="s">
        <v>78</v>
      </c>
      <c r="C75" s="11" t="s">
        <v>112</v>
      </c>
      <c r="D75" s="10">
        <v>58410</v>
      </c>
      <c r="E75" s="10">
        <v>58410</v>
      </c>
      <c r="F75" s="10">
        <f t="shared" ref="F75" si="29">E75-D75</f>
        <v>0</v>
      </c>
      <c r="G75" s="89">
        <f t="shared" si="0"/>
        <v>100</v>
      </c>
    </row>
    <row r="76" spans="1:14" ht="79.900000000000006" hidden="1" customHeight="1">
      <c r="A76" s="104" t="s">
        <v>473</v>
      </c>
      <c r="B76" s="107" t="s">
        <v>6</v>
      </c>
      <c r="C76" s="108" t="s">
        <v>465</v>
      </c>
      <c r="D76" s="102">
        <f>D77</f>
        <v>6919000</v>
      </c>
      <c r="E76" s="102">
        <f t="shared" ref="E76:F76" si="30">E77</f>
        <v>6680118.25</v>
      </c>
      <c r="F76" s="102">
        <f t="shared" si="30"/>
        <v>-238881.74999999983</v>
      </c>
      <c r="G76" s="103">
        <f t="shared" si="0"/>
        <v>96.547452666570308</v>
      </c>
      <c r="H76" s="93"/>
    </row>
    <row r="77" spans="1:14" ht="69" hidden="1" customHeight="1">
      <c r="A77" s="52" t="s">
        <v>113</v>
      </c>
      <c r="B77" s="8" t="s">
        <v>6</v>
      </c>
      <c r="C77" s="47" t="s">
        <v>114</v>
      </c>
      <c r="D77" s="10">
        <f>+D78</f>
        <v>6919000</v>
      </c>
      <c r="E77" s="10">
        <f t="shared" ref="E77:F78" si="31">+E78</f>
        <v>6680118.25</v>
      </c>
      <c r="F77" s="10">
        <f t="shared" si="31"/>
        <v>-238881.74999999983</v>
      </c>
      <c r="G77" s="89">
        <f t="shared" si="0"/>
        <v>96.547452666570308</v>
      </c>
      <c r="H77" s="99"/>
    </row>
    <row r="78" spans="1:14" ht="72" hidden="1" customHeight="1">
      <c r="A78" s="17" t="s">
        <v>115</v>
      </c>
      <c r="B78" s="8" t="s">
        <v>6</v>
      </c>
      <c r="C78" s="11" t="s">
        <v>354</v>
      </c>
      <c r="D78" s="10">
        <f>+D79</f>
        <v>6919000</v>
      </c>
      <c r="E78" s="10">
        <f t="shared" si="31"/>
        <v>6680118.25</v>
      </c>
      <c r="F78" s="10">
        <f t="shared" si="31"/>
        <v>-238881.74999999983</v>
      </c>
      <c r="G78" s="89">
        <f t="shared" si="0"/>
        <v>96.547452666570308</v>
      </c>
    </row>
    <row r="79" spans="1:14" ht="69.599999999999994" hidden="1" customHeight="1">
      <c r="A79" s="17" t="s">
        <v>115</v>
      </c>
      <c r="B79" s="8" t="s">
        <v>6</v>
      </c>
      <c r="C79" s="11" t="s">
        <v>355</v>
      </c>
      <c r="D79" s="10">
        <f>+D80+D81+D82</f>
        <v>6919000</v>
      </c>
      <c r="E79" s="10">
        <f>+E80+E81+E82</f>
        <v>6680118.25</v>
      </c>
      <c r="F79" s="10">
        <f>+F80+F81+F82</f>
        <v>-238881.74999999983</v>
      </c>
      <c r="G79" s="89">
        <f t="shared" ref="G79:G138" si="32">E79/D79*100</f>
        <v>96.547452666570308</v>
      </c>
    </row>
    <row r="80" spans="1:14" ht="88.9" customHeight="1">
      <c r="A80" s="17" t="s">
        <v>116</v>
      </c>
      <c r="B80" s="8" t="s">
        <v>83</v>
      </c>
      <c r="C80" s="11" t="s">
        <v>355</v>
      </c>
      <c r="D80" s="10">
        <f>1122442-63442</f>
        <v>1059000</v>
      </c>
      <c r="E80" s="10">
        <v>1202140.8799999999</v>
      </c>
      <c r="F80" s="10">
        <f>E80-D80</f>
        <v>143140.87999999989</v>
      </c>
      <c r="G80" s="89">
        <f>E80/D80*100</f>
        <v>113.51660812086872</v>
      </c>
    </row>
    <row r="81" spans="1:14" ht="87" customHeight="1">
      <c r="A81" s="17" t="s">
        <v>393</v>
      </c>
      <c r="B81" s="8" t="s">
        <v>83</v>
      </c>
      <c r="C81" s="11" t="s">
        <v>392</v>
      </c>
      <c r="D81" s="10">
        <f>3240000+3096000-632000</f>
        <v>5704000</v>
      </c>
      <c r="E81" s="10">
        <v>5336640.82</v>
      </c>
      <c r="F81" s="10">
        <f t="shared" ref="F81:F82" si="33">E81-D81</f>
        <v>-367359.1799999997</v>
      </c>
      <c r="G81" s="89">
        <f t="shared" si="32"/>
        <v>93.559621669004216</v>
      </c>
    </row>
    <row r="82" spans="1:14" ht="87.6" customHeight="1">
      <c r="A82" s="17" t="s">
        <v>407</v>
      </c>
      <c r="B82" s="8" t="s">
        <v>83</v>
      </c>
      <c r="C82" s="11" t="s">
        <v>408</v>
      </c>
      <c r="D82" s="10">
        <f>84000+72000</f>
        <v>156000</v>
      </c>
      <c r="E82" s="10">
        <v>141336.54999999999</v>
      </c>
      <c r="F82" s="10">
        <f t="shared" si="33"/>
        <v>-14663.450000000012</v>
      </c>
      <c r="G82" s="89">
        <f t="shared" si="32"/>
        <v>90.600352564102565</v>
      </c>
    </row>
    <row r="83" spans="1:14" ht="26.25" hidden="1" customHeight="1">
      <c r="A83" s="52" t="s">
        <v>117</v>
      </c>
      <c r="B83" s="8" t="s">
        <v>6</v>
      </c>
      <c r="C83" s="11" t="s">
        <v>118</v>
      </c>
      <c r="D83" s="10">
        <f>+D84+D90</f>
        <v>9429000</v>
      </c>
      <c r="E83" s="10">
        <f>+E84+E90</f>
        <v>8530025.1500000004</v>
      </c>
      <c r="F83" s="10">
        <f>+F84+F90</f>
        <v>-898974.85000000033</v>
      </c>
      <c r="G83" s="89">
        <f t="shared" si="32"/>
        <v>90.465851627956312</v>
      </c>
    </row>
    <row r="84" spans="1:14" ht="18" hidden="1" customHeight="1">
      <c r="A84" s="52" t="s">
        <v>119</v>
      </c>
      <c r="B84" s="8" t="s">
        <v>6</v>
      </c>
      <c r="C84" s="11" t="s">
        <v>120</v>
      </c>
      <c r="D84" s="18">
        <f>+D85+D86+D87</f>
        <v>9085000</v>
      </c>
      <c r="E84" s="18">
        <f>+E85+E86+E87</f>
        <v>8131008.3300000001</v>
      </c>
      <c r="F84" s="18">
        <f>+F85+F86+F87</f>
        <v>-953991.67000000039</v>
      </c>
      <c r="G84" s="89">
        <f t="shared" si="32"/>
        <v>89.499266152999439</v>
      </c>
    </row>
    <row r="85" spans="1:14" ht="33.6" hidden="1" customHeight="1">
      <c r="A85" s="52" t="s">
        <v>121</v>
      </c>
      <c r="B85" s="8" t="s">
        <v>122</v>
      </c>
      <c r="C85" s="11" t="s">
        <v>123</v>
      </c>
      <c r="D85" s="10">
        <f>600000+700000</f>
        <v>1300000</v>
      </c>
      <c r="E85" s="10">
        <v>1252431.99</v>
      </c>
      <c r="F85" s="10">
        <f t="shared" ref="F85:F89" si="34">E85-D85</f>
        <v>-47568.010000000009</v>
      </c>
      <c r="G85" s="89">
        <f t="shared" si="32"/>
        <v>96.34092230769231</v>
      </c>
    </row>
    <row r="86" spans="1:14" ht="19.899999999999999" hidden="1" customHeight="1">
      <c r="A86" s="52" t="s">
        <v>124</v>
      </c>
      <c r="B86" s="8" t="s">
        <v>122</v>
      </c>
      <c r="C86" s="11" t="s">
        <v>125</v>
      </c>
      <c r="D86" s="10">
        <f>5900000-500000</f>
        <v>5400000</v>
      </c>
      <c r="E86" s="10">
        <v>5088083.5599999996</v>
      </c>
      <c r="F86" s="10">
        <f t="shared" si="34"/>
        <v>-311916.44000000041</v>
      </c>
      <c r="G86" s="89">
        <f t="shared" si="32"/>
        <v>94.223769629629615</v>
      </c>
    </row>
    <row r="87" spans="1:14" ht="20.45" hidden="1" customHeight="1">
      <c r="A87" s="52" t="s">
        <v>126</v>
      </c>
      <c r="B87" s="8" t="s">
        <v>6</v>
      </c>
      <c r="C87" s="11" t="s">
        <v>127</v>
      </c>
      <c r="D87" s="10">
        <f>+D88+D89</f>
        <v>2385000</v>
      </c>
      <c r="E87" s="10">
        <f>+E88+E89</f>
        <v>1790492.78</v>
      </c>
      <c r="F87" s="10">
        <f>+F88+F89</f>
        <v>-594507.22</v>
      </c>
      <c r="G87" s="89">
        <f t="shared" si="32"/>
        <v>75.073072536687633</v>
      </c>
    </row>
    <row r="88" spans="1:14" ht="17.45" hidden="1" customHeight="1">
      <c r="A88" s="52" t="s">
        <v>128</v>
      </c>
      <c r="B88" s="8" t="s">
        <v>122</v>
      </c>
      <c r="C88" s="11" t="s">
        <v>129</v>
      </c>
      <c r="D88" s="10">
        <f>2450000-210000</f>
        <v>2240000</v>
      </c>
      <c r="E88" s="10">
        <v>1500302.8</v>
      </c>
      <c r="F88" s="10">
        <f t="shared" si="34"/>
        <v>-739697.2</v>
      </c>
      <c r="G88" s="89">
        <f t="shared" si="32"/>
        <v>66.977803571428581</v>
      </c>
    </row>
    <row r="89" spans="1:14" ht="19.149999999999999" hidden="1" customHeight="1">
      <c r="A89" s="17" t="s">
        <v>326</v>
      </c>
      <c r="B89" s="8" t="s">
        <v>122</v>
      </c>
      <c r="C89" s="11" t="s">
        <v>334</v>
      </c>
      <c r="D89" s="10">
        <f>17000+128000</f>
        <v>145000</v>
      </c>
      <c r="E89" s="10">
        <v>290189.98</v>
      </c>
      <c r="F89" s="10">
        <f t="shared" si="34"/>
        <v>145189.97999999998</v>
      </c>
      <c r="G89" s="89">
        <f t="shared" si="32"/>
        <v>200.13102068965514</v>
      </c>
    </row>
    <row r="90" spans="1:14" ht="18" hidden="1" customHeight="1">
      <c r="A90" s="52" t="s">
        <v>130</v>
      </c>
      <c r="B90" s="8" t="s">
        <v>6</v>
      </c>
      <c r="C90" s="11" t="s">
        <v>131</v>
      </c>
      <c r="D90" s="10">
        <f t="shared" ref="D90:F91" si="35">+D91</f>
        <v>344000</v>
      </c>
      <c r="E90" s="10">
        <f t="shared" si="35"/>
        <v>399016.82</v>
      </c>
      <c r="F90" s="10">
        <f t="shared" si="35"/>
        <v>55016.820000000007</v>
      </c>
      <c r="G90" s="89">
        <f t="shared" si="32"/>
        <v>115.99326162790697</v>
      </c>
    </row>
    <row r="91" spans="1:14" ht="37.9" hidden="1" customHeight="1">
      <c r="A91" s="52" t="s">
        <v>132</v>
      </c>
      <c r="B91" s="8" t="s">
        <v>6</v>
      </c>
      <c r="C91" s="11" t="s">
        <v>133</v>
      </c>
      <c r="D91" s="10">
        <f t="shared" si="35"/>
        <v>344000</v>
      </c>
      <c r="E91" s="10">
        <f t="shared" si="35"/>
        <v>399016.82</v>
      </c>
      <c r="F91" s="10">
        <f t="shared" si="35"/>
        <v>55016.820000000007</v>
      </c>
      <c r="G91" s="89">
        <f t="shared" si="32"/>
        <v>115.99326162790697</v>
      </c>
    </row>
    <row r="92" spans="1:14" ht="49.15" hidden="1" customHeight="1">
      <c r="A92" s="52" t="s">
        <v>336</v>
      </c>
      <c r="B92" s="8" t="s">
        <v>78</v>
      </c>
      <c r="C92" s="11" t="s">
        <v>335</v>
      </c>
      <c r="D92" s="10">
        <f>221000+123000</f>
        <v>344000</v>
      </c>
      <c r="E92" s="10">
        <v>399016.82</v>
      </c>
      <c r="F92" s="10">
        <f t="shared" ref="F92" si="36">E92-D92</f>
        <v>55016.820000000007</v>
      </c>
      <c r="G92" s="89">
        <f t="shared" si="32"/>
        <v>115.99326162790697</v>
      </c>
    </row>
    <row r="93" spans="1:14" s="13" customFormat="1" ht="33" hidden="1" customHeight="1">
      <c r="A93" s="52" t="s">
        <v>134</v>
      </c>
      <c r="B93" s="8" t="s">
        <v>6</v>
      </c>
      <c r="C93" s="11" t="s">
        <v>135</v>
      </c>
      <c r="D93" s="10">
        <f>+D98+D94</f>
        <v>6287200</v>
      </c>
      <c r="E93" s="10">
        <f>+E98+E94</f>
        <v>6263673.21</v>
      </c>
      <c r="F93" s="10">
        <f>+F98+F94</f>
        <v>-23526.789999999957</v>
      </c>
      <c r="G93" s="89">
        <f t="shared" si="32"/>
        <v>99.625798606692967</v>
      </c>
      <c r="H93" s="30"/>
      <c r="I93" s="60"/>
      <c r="J93" s="30"/>
      <c r="K93" s="30"/>
      <c r="L93" s="30"/>
      <c r="M93" s="30"/>
      <c r="N93" s="30"/>
    </row>
    <row r="94" spans="1:14" ht="16.149999999999999" hidden="1" customHeight="1">
      <c r="A94" s="52" t="s">
        <v>136</v>
      </c>
      <c r="B94" s="8" t="s">
        <v>6</v>
      </c>
      <c r="C94" s="11" t="s">
        <v>137</v>
      </c>
      <c r="D94" s="10">
        <f>+D95</f>
        <v>71000</v>
      </c>
      <c r="E94" s="10">
        <f t="shared" ref="E94:F95" si="37">+E95</f>
        <v>70690</v>
      </c>
      <c r="F94" s="10">
        <f t="shared" si="37"/>
        <v>-310</v>
      </c>
      <c r="G94" s="89">
        <f t="shared" si="32"/>
        <v>99.563380281690144</v>
      </c>
    </row>
    <row r="95" spans="1:14" ht="18.600000000000001" hidden="1" customHeight="1">
      <c r="A95" s="52" t="s">
        <v>138</v>
      </c>
      <c r="B95" s="8" t="s">
        <v>6</v>
      </c>
      <c r="C95" s="11" t="s">
        <v>139</v>
      </c>
      <c r="D95" s="10">
        <f>+D96</f>
        <v>71000</v>
      </c>
      <c r="E95" s="10">
        <f t="shared" si="37"/>
        <v>70690</v>
      </c>
      <c r="F95" s="10">
        <f t="shared" si="37"/>
        <v>-310</v>
      </c>
      <c r="G95" s="89">
        <f t="shared" si="32"/>
        <v>99.563380281690144</v>
      </c>
    </row>
    <row r="96" spans="1:14" ht="28.9" hidden="1" customHeight="1">
      <c r="A96" s="19" t="s">
        <v>140</v>
      </c>
      <c r="B96" s="8" t="s">
        <v>6</v>
      </c>
      <c r="C96" s="15" t="s">
        <v>141</v>
      </c>
      <c r="D96" s="10">
        <f>SUM(D97:D97)</f>
        <v>71000</v>
      </c>
      <c r="E96" s="10">
        <f>SUM(E97:E97)</f>
        <v>70690</v>
      </c>
      <c r="F96" s="10">
        <f>SUM(F97:F97)</f>
        <v>-310</v>
      </c>
      <c r="G96" s="89">
        <f t="shared" si="32"/>
        <v>99.563380281690144</v>
      </c>
    </row>
    <row r="97" spans="1:14" ht="56.45" hidden="1" customHeight="1">
      <c r="A97" s="19" t="s">
        <v>142</v>
      </c>
      <c r="B97" s="8" t="s">
        <v>78</v>
      </c>
      <c r="C97" s="15" t="s">
        <v>143</v>
      </c>
      <c r="D97" s="10">
        <f>62000+2000+7000</f>
        <v>71000</v>
      </c>
      <c r="E97" s="10">
        <v>70690</v>
      </c>
      <c r="F97" s="10">
        <f t="shared" ref="F97" si="38">E97-D97</f>
        <v>-310</v>
      </c>
      <c r="G97" s="89">
        <f t="shared" si="32"/>
        <v>99.563380281690144</v>
      </c>
    </row>
    <row r="98" spans="1:14" ht="16.149999999999999" hidden="1" customHeight="1">
      <c r="A98" s="52" t="s">
        <v>144</v>
      </c>
      <c r="B98" s="8" t="s">
        <v>6</v>
      </c>
      <c r="C98" s="11" t="s">
        <v>145</v>
      </c>
      <c r="D98" s="10">
        <f>+D99</f>
        <v>6216200</v>
      </c>
      <c r="E98" s="10">
        <f>+E99</f>
        <v>6192983.21</v>
      </c>
      <c r="F98" s="10">
        <f>+F99</f>
        <v>-23216.789999999957</v>
      </c>
      <c r="G98" s="89">
        <f t="shared" si="32"/>
        <v>99.626511534377912</v>
      </c>
    </row>
    <row r="99" spans="1:14" ht="18" hidden="1" customHeight="1">
      <c r="A99" s="52" t="s">
        <v>146</v>
      </c>
      <c r="B99" s="8" t="s">
        <v>6</v>
      </c>
      <c r="C99" s="11" t="s">
        <v>147</v>
      </c>
      <c r="D99" s="10">
        <f>+D100</f>
        <v>6216200</v>
      </c>
      <c r="E99" s="10">
        <f t="shared" ref="E99:F99" si="39">+E100</f>
        <v>6192983.21</v>
      </c>
      <c r="F99" s="10">
        <f t="shared" si="39"/>
        <v>-23216.789999999957</v>
      </c>
      <c r="G99" s="89">
        <f t="shared" si="32"/>
        <v>99.626511534377912</v>
      </c>
    </row>
    <row r="100" spans="1:14" ht="28.9" hidden="1" customHeight="1">
      <c r="A100" s="17" t="s">
        <v>148</v>
      </c>
      <c r="B100" s="8" t="s">
        <v>6</v>
      </c>
      <c r="C100" s="11" t="s">
        <v>353</v>
      </c>
      <c r="D100" s="10">
        <f>+D105+D106+D104+D101+D102+D103</f>
        <v>6216200</v>
      </c>
      <c r="E100" s="10">
        <f>+E105+E106+E104+E101+E102+E103</f>
        <v>6192983.21</v>
      </c>
      <c r="F100" s="10">
        <f>+F105+F106+F104+F101+F102+F103</f>
        <v>-23216.789999999957</v>
      </c>
      <c r="G100" s="89">
        <f t="shared" si="32"/>
        <v>99.626511534377912</v>
      </c>
    </row>
    <row r="101" spans="1:14" ht="28.9" hidden="1" customHeight="1">
      <c r="A101" s="19" t="s">
        <v>390</v>
      </c>
      <c r="B101" s="8" t="s">
        <v>78</v>
      </c>
      <c r="C101" s="11" t="s">
        <v>353</v>
      </c>
      <c r="D101" s="10">
        <v>2800</v>
      </c>
      <c r="E101" s="10">
        <v>3053.18</v>
      </c>
      <c r="F101" s="10">
        <f t="shared" ref="F101:F104" si="40">E101-D101</f>
        <v>253.17999999999984</v>
      </c>
      <c r="G101" s="89">
        <f t="shared" si="32"/>
        <v>109.04214285714285</v>
      </c>
    </row>
    <row r="102" spans="1:14" ht="30" hidden="1" customHeight="1">
      <c r="A102" s="19" t="s">
        <v>390</v>
      </c>
      <c r="B102" s="8" t="s">
        <v>150</v>
      </c>
      <c r="C102" s="11" t="s">
        <v>353</v>
      </c>
      <c r="D102" s="10">
        <v>5400</v>
      </c>
      <c r="E102" s="10">
        <v>5398.36</v>
      </c>
      <c r="F102" s="10">
        <f t="shared" si="40"/>
        <v>-1.6400000000003274</v>
      </c>
      <c r="G102" s="89">
        <f t="shared" si="32"/>
        <v>99.969629629629623</v>
      </c>
    </row>
    <row r="103" spans="1:14" ht="29.45" hidden="1" customHeight="1">
      <c r="A103" s="19" t="s">
        <v>390</v>
      </c>
      <c r="B103" s="8" t="s">
        <v>151</v>
      </c>
      <c r="C103" s="11" t="s">
        <v>353</v>
      </c>
      <c r="D103" s="10">
        <f>136000-21000+170000</f>
        <v>285000</v>
      </c>
      <c r="E103" s="10">
        <v>284166.62</v>
      </c>
      <c r="F103" s="10">
        <f t="shared" si="40"/>
        <v>-833.38000000000466</v>
      </c>
      <c r="G103" s="89">
        <f t="shared" si="32"/>
        <v>99.707585964912283</v>
      </c>
    </row>
    <row r="104" spans="1:14" ht="29.45" customHeight="1">
      <c r="A104" s="19" t="s">
        <v>390</v>
      </c>
      <c r="B104" s="8" t="s">
        <v>83</v>
      </c>
      <c r="C104" s="11" t="s">
        <v>353</v>
      </c>
      <c r="D104" s="10">
        <v>40000</v>
      </c>
      <c r="E104" s="10">
        <v>40221.5</v>
      </c>
      <c r="F104" s="10">
        <f t="shared" si="40"/>
        <v>221.5</v>
      </c>
      <c r="G104" s="89">
        <f t="shared" si="32"/>
        <v>100.55374999999999</v>
      </c>
    </row>
    <row r="105" spans="1:14" ht="43.15" customHeight="1">
      <c r="A105" s="52" t="s">
        <v>152</v>
      </c>
      <c r="B105" s="8" t="s">
        <v>83</v>
      </c>
      <c r="C105" s="11" t="s">
        <v>153</v>
      </c>
      <c r="D105" s="10">
        <f>400000+4101000+608000</f>
        <v>5109000</v>
      </c>
      <c r="E105" s="10">
        <v>5077000.75</v>
      </c>
      <c r="F105" s="10">
        <f t="shared" ref="F105:F106" si="41">E105-D105</f>
        <v>-31999.25</v>
      </c>
      <c r="G105" s="89">
        <f t="shared" si="32"/>
        <v>99.373669015462909</v>
      </c>
    </row>
    <row r="106" spans="1:14" ht="30" customHeight="1">
      <c r="A106" s="19" t="s">
        <v>154</v>
      </c>
      <c r="B106" s="8" t="s">
        <v>83</v>
      </c>
      <c r="C106" s="11" t="s">
        <v>155</v>
      </c>
      <c r="D106" s="10">
        <f>732000+42000</f>
        <v>774000</v>
      </c>
      <c r="E106" s="10">
        <v>783142.8</v>
      </c>
      <c r="F106" s="10">
        <f t="shared" si="41"/>
        <v>9142.8000000000466</v>
      </c>
      <c r="G106" s="89">
        <f t="shared" si="32"/>
        <v>101.18124031007754</v>
      </c>
    </row>
    <row r="107" spans="1:14" s="13" customFormat="1" ht="28.9" hidden="1" customHeight="1">
      <c r="A107" s="52" t="s">
        <v>156</v>
      </c>
      <c r="B107" s="8" t="s">
        <v>6</v>
      </c>
      <c r="C107" s="11" t="s">
        <v>157</v>
      </c>
      <c r="D107" s="10">
        <f>+D108+D113</f>
        <v>15564502.779999999</v>
      </c>
      <c r="E107" s="10">
        <f>+E108+E113</f>
        <v>15886403.349999998</v>
      </c>
      <c r="F107" s="10">
        <f>+F108+F113</f>
        <v>321900.57000000007</v>
      </c>
      <c r="G107" s="89">
        <f t="shared" si="32"/>
        <v>102.06817123906863</v>
      </c>
      <c r="H107" s="30"/>
      <c r="I107" s="60"/>
      <c r="J107" s="30"/>
      <c r="K107" s="30"/>
      <c r="L107" s="30"/>
      <c r="M107" s="30"/>
      <c r="N107" s="30"/>
    </row>
    <row r="108" spans="1:14" ht="76.900000000000006" hidden="1" customHeight="1">
      <c r="A108" s="83" t="s">
        <v>158</v>
      </c>
      <c r="B108" s="82" t="s">
        <v>6</v>
      </c>
      <c r="C108" s="81" t="s">
        <v>159</v>
      </c>
      <c r="D108" s="10">
        <f>+D109+D111</f>
        <v>3927346</v>
      </c>
      <c r="E108" s="10">
        <f>+E109+E111</f>
        <v>3929945.96</v>
      </c>
      <c r="F108" s="10">
        <f>+F109+F111</f>
        <v>2599.9599999999627</v>
      </c>
      <c r="G108" s="89">
        <f t="shared" si="32"/>
        <v>100.06620145003775</v>
      </c>
    </row>
    <row r="109" spans="1:14" ht="85.9" hidden="1" customHeight="1">
      <c r="A109" s="83" t="s">
        <v>160</v>
      </c>
      <c r="B109" s="20" t="s">
        <v>6</v>
      </c>
      <c r="C109" s="20" t="s">
        <v>161</v>
      </c>
      <c r="D109" s="10">
        <f>+D110</f>
        <v>3927000</v>
      </c>
      <c r="E109" s="10">
        <f t="shared" ref="E109:F109" si="42">+E110</f>
        <v>3929599.96</v>
      </c>
      <c r="F109" s="10">
        <f t="shared" si="42"/>
        <v>2599.9599999999627</v>
      </c>
      <c r="G109" s="89">
        <f t="shared" si="32"/>
        <v>100.06620728291315</v>
      </c>
    </row>
    <row r="110" spans="1:14" ht="85.15" hidden="1" customHeight="1">
      <c r="A110" s="83" t="s">
        <v>162</v>
      </c>
      <c r="B110" s="20" t="s">
        <v>78</v>
      </c>
      <c r="C110" s="20" t="s">
        <v>163</v>
      </c>
      <c r="D110" s="10">
        <f>3492000+465000-30000</f>
        <v>3927000</v>
      </c>
      <c r="E110" s="10">
        <v>3929599.96</v>
      </c>
      <c r="F110" s="10">
        <f t="shared" ref="F110" si="43">E110-D110</f>
        <v>2599.9599999999627</v>
      </c>
      <c r="G110" s="89">
        <f t="shared" si="32"/>
        <v>100.06620728291315</v>
      </c>
    </row>
    <row r="111" spans="1:14" ht="84" hidden="1" customHeight="1">
      <c r="A111" s="83" t="s">
        <v>424</v>
      </c>
      <c r="B111" s="20" t="s">
        <v>6</v>
      </c>
      <c r="C111" s="20" t="s">
        <v>425</v>
      </c>
      <c r="D111" s="10">
        <f>+D112</f>
        <v>346</v>
      </c>
      <c r="E111" s="10">
        <f t="shared" ref="E111:F111" si="44">+E112</f>
        <v>346</v>
      </c>
      <c r="F111" s="10">
        <f t="shared" si="44"/>
        <v>0</v>
      </c>
      <c r="G111" s="89">
        <f t="shared" si="32"/>
        <v>100</v>
      </c>
    </row>
    <row r="112" spans="1:14" ht="84.6" hidden="1" customHeight="1">
      <c r="A112" s="83" t="s">
        <v>426</v>
      </c>
      <c r="B112" s="20" t="s">
        <v>78</v>
      </c>
      <c r="C112" s="20" t="s">
        <v>427</v>
      </c>
      <c r="D112" s="10">
        <v>346</v>
      </c>
      <c r="E112" s="10">
        <v>346</v>
      </c>
      <c r="F112" s="10">
        <f t="shared" ref="F112" si="45">E112-D112</f>
        <v>0</v>
      </c>
      <c r="G112" s="89">
        <f t="shared" si="32"/>
        <v>100</v>
      </c>
    </row>
    <row r="113" spans="1:9" ht="31.15" hidden="1" customHeight="1">
      <c r="A113" s="19" t="s">
        <v>164</v>
      </c>
      <c r="B113" s="20" t="s">
        <v>6</v>
      </c>
      <c r="C113" s="21" t="s">
        <v>165</v>
      </c>
      <c r="D113" s="10">
        <f>+D114+D116</f>
        <v>11637156.779999999</v>
      </c>
      <c r="E113" s="10">
        <f>+E114+E116</f>
        <v>11956457.389999999</v>
      </c>
      <c r="F113" s="10">
        <f>+F114+F116</f>
        <v>319300.6100000001</v>
      </c>
      <c r="G113" s="89">
        <f t="shared" si="32"/>
        <v>102.74380259745885</v>
      </c>
    </row>
    <row r="114" spans="1:9" ht="30.6" hidden="1" customHeight="1">
      <c r="A114" s="53" t="s">
        <v>166</v>
      </c>
      <c r="B114" s="20" t="s">
        <v>6</v>
      </c>
      <c r="C114" s="21" t="s">
        <v>167</v>
      </c>
      <c r="D114" s="10">
        <f>+D115</f>
        <v>10933240.779999999</v>
      </c>
      <c r="E114" s="10">
        <f>+E115</f>
        <v>11326337.689999999</v>
      </c>
      <c r="F114" s="10">
        <f>+F115</f>
        <v>393096.91000000015</v>
      </c>
      <c r="G114" s="89">
        <f t="shared" si="32"/>
        <v>103.59542900325663</v>
      </c>
    </row>
    <row r="115" spans="1:9" ht="43.15" hidden="1" customHeight="1">
      <c r="A115" s="53" t="s">
        <v>168</v>
      </c>
      <c r="B115" s="20" t="s">
        <v>78</v>
      </c>
      <c r="C115" s="21" t="s">
        <v>169</v>
      </c>
      <c r="D115" s="10">
        <f>8898214.78+322000+1713026</f>
        <v>10933240.779999999</v>
      </c>
      <c r="E115" s="10">
        <v>11326337.689999999</v>
      </c>
      <c r="F115" s="10">
        <f t="shared" ref="F115" si="46">E115-D115</f>
        <v>393096.91000000015</v>
      </c>
      <c r="G115" s="89">
        <f t="shared" si="32"/>
        <v>103.59542900325663</v>
      </c>
      <c r="I115" s="86"/>
    </row>
    <row r="116" spans="1:9" ht="44.45" hidden="1" customHeight="1">
      <c r="A116" s="19" t="s">
        <v>170</v>
      </c>
      <c r="B116" s="20" t="s">
        <v>6</v>
      </c>
      <c r="C116" s="21" t="s">
        <v>171</v>
      </c>
      <c r="D116" s="10">
        <f>+D117</f>
        <v>703916</v>
      </c>
      <c r="E116" s="10">
        <f>+E117</f>
        <v>630119.69999999995</v>
      </c>
      <c r="F116" s="10">
        <f>+F117</f>
        <v>-73796.300000000047</v>
      </c>
      <c r="G116" s="89">
        <f t="shared" si="32"/>
        <v>89.516320129106305</v>
      </c>
    </row>
    <row r="117" spans="1:9" ht="62.45" hidden="1" customHeight="1">
      <c r="A117" s="19" t="s">
        <v>172</v>
      </c>
      <c r="B117" s="20" t="s">
        <v>78</v>
      </c>
      <c r="C117" s="21" t="s">
        <v>173</v>
      </c>
      <c r="D117" s="10">
        <f>3697000-3034000+40916</f>
        <v>703916</v>
      </c>
      <c r="E117" s="10">
        <v>630119.69999999995</v>
      </c>
      <c r="F117" s="10">
        <f t="shared" ref="F117" si="47">E117-D117</f>
        <v>-73796.300000000047</v>
      </c>
      <c r="G117" s="89">
        <f t="shared" si="32"/>
        <v>89.516320129106305</v>
      </c>
    </row>
    <row r="118" spans="1:9" ht="18" hidden="1" customHeight="1">
      <c r="A118" s="52" t="s">
        <v>174</v>
      </c>
      <c r="B118" s="8" t="s">
        <v>6</v>
      </c>
      <c r="C118" s="11" t="s">
        <v>175</v>
      </c>
      <c r="D118" s="10">
        <f>+D119+D123+D126+D128+D137+D140+D145+D147+D149+D153+D155+D122</f>
        <v>13755040</v>
      </c>
      <c r="E118" s="10">
        <f t="shared" ref="E118:F118" si="48">+E119+E123+E126+E128+E137+E140+E145+E147+E149+E153+E155+E122</f>
        <v>15090103.890000001</v>
      </c>
      <c r="F118" s="10">
        <f t="shared" si="48"/>
        <v>1335063.8899999999</v>
      </c>
      <c r="G118" s="89">
        <f t="shared" si="32"/>
        <v>109.70599787423374</v>
      </c>
    </row>
    <row r="119" spans="1:9" ht="30.6" hidden="1" customHeight="1">
      <c r="A119" s="52" t="s">
        <v>176</v>
      </c>
      <c r="B119" s="8" t="s">
        <v>6</v>
      </c>
      <c r="C119" s="11" t="s">
        <v>177</v>
      </c>
      <c r="D119" s="10">
        <f>+D120+D121</f>
        <v>260000</v>
      </c>
      <c r="E119" s="10">
        <f>+E120+E121</f>
        <v>266663.93</v>
      </c>
      <c r="F119" s="10">
        <f>+F120+F121</f>
        <v>6663.9300000000076</v>
      </c>
      <c r="G119" s="89">
        <f t="shared" si="32"/>
        <v>102.56304999999999</v>
      </c>
    </row>
    <row r="120" spans="1:9" ht="69.599999999999994" hidden="1" customHeight="1">
      <c r="A120" s="19" t="s">
        <v>178</v>
      </c>
      <c r="B120" s="8" t="s">
        <v>13</v>
      </c>
      <c r="C120" s="11" t="s">
        <v>179</v>
      </c>
      <c r="D120" s="10">
        <f>250000-90000</f>
        <v>160000</v>
      </c>
      <c r="E120" s="10">
        <v>164491.76</v>
      </c>
      <c r="F120" s="10">
        <f t="shared" ref="F120:F122" si="49">E120-D120</f>
        <v>4491.7600000000093</v>
      </c>
      <c r="G120" s="89">
        <f t="shared" si="32"/>
        <v>102.80735000000001</v>
      </c>
    </row>
    <row r="121" spans="1:9" ht="59.45" hidden="1" customHeight="1">
      <c r="A121" s="52" t="s">
        <v>180</v>
      </c>
      <c r="B121" s="8" t="s">
        <v>13</v>
      </c>
      <c r="C121" s="11" t="s">
        <v>181</v>
      </c>
      <c r="D121" s="10">
        <f>75000+25000</f>
        <v>100000</v>
      </c>
      <c r="E121" s="10">
        <v>102172.17</v>
      </c>
      <c r="F121" s="10">
        <f t="shared" si="49"/>
        <v>2172.1699999999983</v>
      </c>
      <c r="G121" s="89">
        <f t="shared" si="32"/>
        <v>102.17217000000001</v>
      </c>
    </row>
    <row r="122" spans="1:9" ht="61.9" hidden="1" customHeight="1">
      <c r="A122" s="52" t="s">
        <v>441</v>
      </c>
      <c r="B122" s="8" t="s">
        <v>13</v>
      </c>
      <c r="C122" s="11" t="s">
        <v>442</v>
      </c>
      <c r="D122" s="10">
        <v>2000</v>
      </c>
      <c r="E122" s="10">
        <v>10000</v>
      </c>
      <c r="F122" s="10">
        <f t="shared" si="49"/>
        <v>8000</v>
      </c>
      <c r="G122" s="89">
        <f t="shared" si="32"/>
        <v>500</v>
      </c>
    </row>
    <row r="123" spans="1:9" ht="66" hidden="1" customHeight="1">
      <c r="A123" s="52" t="s">
        <v>182</v>
      </c>
      <c r="B123" s="8" t="s">
        <v>6</v>
      </c>
      <c r="C123" s="11" t="s">
        <v>183</v>
      </c>
      <c r="D123" s="10">
        <f>+D124</f>
        <v>1300000</v>
      </c>
      <c r="E123" s="10">
        <f t="shared" ref="E123:F124" si="50">+E124</f>
        <v>1192242.6200000001</v>
      </c>
      <c r="F123" s="10">
        <f t="shared" si="50"/>
        <v>-107757.37999999989</v>
      </c>
      <c r="G123" s="89">
        <f t="shared" si="32"/>
        <v>91.710970769230784</v>
      </c>
    </row>
    <row r="124" spans="1:9" ht="57" hidden="1" customHeight="1">
      <c r="A124" s="52" t="s">
        <v>184</v>
      </c>
      <c r="B124" s="8" t="s">
        <v>6</v>
      </c>
      <c r="C124" s="11" t="s">
        <v>185</v>
      </c>
      <c r="D124" s="10">
        <f>+D125</f>
        <v>1300000</v>
      </c>
      <c r="E124" s="10">
        <f t="shared" si="50"/>
        <v>1192242.6200000001</v>
      </c>
      <c r="F124" s="10">
        <f t="shared" si="50"/>
        <v>-107757.37999999989</v>
      </c>
      <c r="G124" s="89">
        <f t="shared" si="32"/>
        <v>91.710970769230784</v>
      </c>
    </row>
    <row r="125" spans="1:9" ht="57" hidden="1" customHeight="1">
      <c r="A125" s="52" t="s">
        <v>184</v>
      </c>
      <c r="B125" s="8" t="s">
        <v>187</v>
      </c>
      <c r="C125" s="11" t="s">
        <v>185</v>
      </c>
      <c r="D125" s="10">
        <f>1825000-525000</f>
        <v>1300000</v>
      </c>
      <c r="E125" s="10">
        <v>1192242.6200000001</v>
      </c>
      <c r="F125" s="10">
        <f t="shared" ref="F125" si="51">E125-D125</f>
        <v>-107757.37999999989</v>
      </c>
      <c r="G125" s="89">
        <f t="shared" si="32"/>
        <v>91.710970769230784</v>
      </c>
    </row>
    <row r="126" spans="1:9" ht="33" hidden="1" customHeight="1">
      <c r="A126" s="17" t="s">
        <v>188</v>
      </c>
      <c r="B126" s="8" t="s">
        <v>6</v>
      </c>
      <c r="C126" s="47" t="s">
        <v>474</v>
      </c>
      <c r="D126" s="10">
        <f>+D127</f>
        <v>16509</v>
      </c>
      <c r="E126" s="10">
        <f t="shared" ref="E126:F126" si="52">+E127</f>
        <v>16508.759999999998</v>
      </c>
      <c r="F126" s="10">
        <f t="shared" si="52"/>
        <v>-0.24000000000160071</v>
      </c>
      <c r="G126" s="89">
        <f t="shared" si="32"/>
        <v>99.998546247501352</v>
      </c>
    </row>
    <row r="127" spans="1:9" ht="34.9" hidden="1" customHeight="1">
      <c r="A127" s="17" t="s">
        <v>188</v>
      </c>
      <c r="B127" s="8" t="s">
        <v>190</v>
      </c>
      <c r="C127" s="47" t="s">
        <v>189</v>
      </c>
      <c r="D127" s="10">
        <f>20000-3491</f>
        <v>16509</v>
      </c>
      <c r="E127" s="10">
        <v>16508.759999999998</v>
      </c>
      <c r="F127" s="10">
        <f t="shared" ref="F127:F130" si="53">E127-D127</f>
        <v>-0.24000000000160071</v>
      </c>
      <c r="G127" s="89">
        <f t="shared" si="32"/>
        <v>99.998546247501352</v>
      </c>
    </row>
    <row r="128" spans="1:9" ht="101.45" hidden="1" customHeight="1">
      <c r="A128" s="53" t="s">
        <v>191</v>
      </c>
      <c r="B128" s="8" t="s">
        <v>6</v>
      </c>
      <c r="C128" s="21" t="s">
        <v>192</v>
      </c>
      <c r="D128" s="102">
        <f>+D129+D131+D133+D135</f>
        <v>242000</v>
      </c>
      <c r="E128" s="102">
        <f>+E129+E131+E133+E135</f>
        <v>243809.21000000002</v>
      </c>
      <c r="F128" s="102">
        <f>+F129+F131+F133+F135</f>
        <v>1809.2100000000064</v>
      </c>
      <c r="G128" s="89">
        <f t="shared" si="32"/>
        <v>100.74760743801654</v>
      </c>
    </row>
    <row r="129" spans="1:7" ht="42.6" hidden="1" customHeight="1">
      <c r="A129" s="53" t="s">
        <v>475</v>
      </c>
      <c r="B129" s="8" t="s">
        <v>6</v>
      </c>
      <c r="C129" s="21" t="s">
        <v>454</v>
      </c>
      <c r="D129" s="10">
        <f>+D130</f>
        <v>0</v>
      </c>
      <c r="E129" s="10">
        <f t="shared" ref="E129:F129" si="54">+E130</f>
        <v>250</v>
      </c>
      <c r="F129" s="10">
        <f t="shared" si="54"/>
        <v>250</v>
      </c>
      <c r="G129" s="89">
        <v>0</v>
      </c>
    </row>
    <row r="130" spans="1:7" ht="48.6" hidden="1" customHeight="1">
      <c r="A130" s="53" t="s">
        <v>475</v>
      </c>
      <c r="B130" s="8" t="s">
        <v>122</v>
      </c>
      <c r="C130" s="21" t="s">
        <v>454</v>
      </c>
      <c r="D130" s="10">
        <v>0</v>
      </c>
      <c r="E130" s="10">
        <v>250</v>
      </c>
      <c r="F130" s="10">
        <f t="shared" si="53"/>
        <v>250</v>
      </c>
      <c r="G130" s="89">
        <v>0</v>
      </c>
    </row>
    <row r="131" spans="1:7" ht="31.15" hidden="1" customHeight="1">
      <c r="A131" s="53" t="s">
        <v>193</v>
      </c>
      <c r="B131" s="8" t="s">
        <v>6</v>
      </c>
      <c r="C131" s="21" t="s">
        <v>194</v>
      </c>
      <c r="D131" s="10">
        <f>+D132</f>
        <v>146000</v>
      </c>
      <c r="E131" s="10">
        <f>+E132</f>
        <v>148000</v>
      </c>
      <c r="F131" s="10">
        <f>+F132</f>
        <v>2000</v>
      </c>
      <c r="G131" s="89">
        <f t="shared" si="32"/>
        <v>101.36986301369863</v>
      </c>
    </row>
    <row r="132" spans="1:7" ht="34.15" hidden="1" customHeight="1">
      <c r="A132" s="53" t="s">
        <v>193</v>
      </c>
      <c r="B132" s="8" t="s">
        <v>186</v>
      </c>
      <c r="C132" s="21" t="s">
        <v>194</v>
      </c>
      <c r="D132" s="10">
        <f>20000+104000+22000</f>
        <v>146000</v>
      </c>
      <c r="E132" s="10">
        <v>148000</v>
      </c>
      <c r="F132" s="10">
        <f t="shared" ref="F132" si="55">E132-D132</f>
        <v>2000</v>
      </c>
      <c r="G132" s="89">
        <f t="shared" si="32"/>
        <v>101.36986301369863</v>
      </c>
    </row>
    <row r="133" spans="1:7" ht="25.5" hidden="1">
      <c r="A133" s="53" t="s">
        <v>195</v>
      </c>
      <c r="B133" s="8" t="s">
        <v>6</v>
      </c>
      <c r="C133" s="21" t="s">
        <v>196</v>
      </c>
      <c r="D133" s="10">
        <f>+D134</f>
        <v>71000</v>
      </c>
      <c r="E133" s="10">
        <f>+E134</f>
        <v>70559.210000000006</v>
      </c>
      <c r="F133" s="10">
        <f>+F134</f>
        <v>-440.7899999999936</v>
      </c>
      <c r="G133" s="89">
        <f t="shared" si="32"/>
        <v>99.379169014084511</v>
      </c>
    </row>
    <row r="134" spans="1:7" ht="25.5" hidden="1">
      <c r="A134" s="53" t="s">
        <v>195</v>
      </c>
      <c r="B134" s="8" t="s">
        <v>197</v>
      </c>
      <c r="C134" s="21" t="s">
        <v>196</v>
      </c>
      <c r="D134" s="10">
        <f>10000+61000</f>
        <v>71000</v>
      </c>
      <c r="E134" s="10">
        <v>70559.210000000006</v>
      </c>
      <c r="F134" s="10">
        <f t="shared" ref="F134" si="56">E134-D134</f>
        <v>-440.7899999999936</v>
      </c>
      <c r="G134" s="89">
        <f t="shared" si="32"/>
        <v>99.379169014084511</v>
      </c>
    </row>
    <row r="135" spans="1:7" ht="33.6" hidden="1" customHeight="1">
      <c r="A135" s="53" t="s">
        <v>444</v>
      </c>
      <c r="B135" s="8" t="s">
        <v>6</v>
      </c>
      <c r="C135" s="21" t="s">
        <v>443</v>
      </c>
      <c r="D135" s="10">
        <f>+D136</f>
        <v>25000</v>
      </c>
      <c r="E135" s="10">
        <f t="shared" ref="E135:F135" si="57">+E136</f>
        <v>25000</v>
      </c>
      <c r="F135" s="10">
        <f t="shared" si="57"/>
        <v>0</v>
      </c>
      <c r="G135" s="89">
        <f t="shared" si="32"/>
        <v>100</v>
      </c>
    </row>
    <row r="136" spans="1:7" ht="46.15" hidden="1" customHeight="1">
      <c r="A136" s="53" t="s">
        <v>446</v>
      </c>
      <c r="B136" s="8" t="s">
        <v>186</v>
      </c>
      <c r="C136" s="21" t="s">
        <v>445</v>
      </c>
      <c r="D136" s="10">
        <v>25000</v>
      </c>
      <c r="E136" s="10">
        <v>25000</v>
      </c>
      <c r="F136" s="10">
        <v>0</v>
      </c>
      <c r="G136" s="89">
        <f t="shared" si="32"/>
        <v>100</v>
      </c>
    </row>
    <row r="137" spans="1:7" ht="62.45" hidden="1" customHeight="1">
      <c r="A137" s="52" t="s">
        <v>198</v>
      </c>
      <c r="B137" s="8" t="s">
        <v>6</v>
      </c>
      <c r="C137" s="11" t="s">
        <v>199</v>
      </c>
      <c r="D137" s="10">
        <f>+D138+D139</f>
        <v>900000</v>
      </c>
      <c r="E137" s="10">
        <f>+E138+E139</f>
        <v>927325.67999999993</v>
      </c>
      <c r="F137" s="10">
        <f>+F138+F139</f>
        <v>27325.679999999949</v>
      </c>
      <c r="G137" s="89">
        <f t="shared" si="32"/>
        <v>103.03618666666665</v>
      </c>
    </row>
    <row r="138" spans="1:7" ht="55.15" hidden="1" customHeight="1">
      <c r="A138" s="52" t="s">
        <v>198</v>
      </c>
      <c r="B138" s="8" t="s">
        <v>186</v>
      </c>
      <c r="C138" s="11" t="s">
        <v>199</v>
      </c>
      <c r="D138" s="10">
        <f>600000+50000+140000</f>
        <v>790000</v>
      </c>
      <c r="E138" s="10">
        <v>805898.32</v>
      </c>
      <c r="F138" s="10">
        <f t="shared" ref="F138:F139" si="58">E138-D138</f>
        <v>15898.319999999949</v>
      </c>
      <c r="G138" s="89">
        <f t="shared" si="32"/>
        <v>102.01244556962024</v>
      </c>
    </row>
    <row r="139" spans="1:7" ht="60" hidden="1" customHeight="1">
      <c r="A139" s="52" t="s">
        <v>198</v>
      </c>
      <c r="B139" s="8" t="s">
        <v>187</v>
      </c>
      <c r="C139" s="11" t="s">
        <v>199</v>
      </c>
      <c r="D139" s="10">
        <v>110000</v>
      </c>
      <c r="E139" s="10">
        <v>121427.36</v>
      </c>
      <c r="F139" s="10">
        <f t="shared" si="58"/>
        <v>11427.36</v>
      </c>
      <c r="G139" s="89">
        <f t="shared" ref="G139:G204" si="59">E139/D139*100</f>
        <v>110.3885090909091</v>
      </c>
    </row>
    <row r="140" spans="1:7" ht="29.45" hidden="1" customHeight="1">
      <c r="A140" s="52" t="s">
        <v>200</v>
      </c>
      <c r="B140" s="8" t="s">
        <v>6</v>
      </c>
      <c r="C140" s="11" t="s">
        <v>201</v>
      </c>
      <c r="D140" s="10">
        <f>+D141+D144</f>
        <v>903500</v>
      </c>
      <c r="E140" s="10">
        <f>+E141+E144</f>
        <v>701500</v>
      </c>
      <c r="F140" s="10">
        <f>+F141+F144</f>
        <v>-202000</v>
      </c>
      <c r="G140" s="89">
        <f t="shared" si="59"/>
        <v>77.642501383508574</v>
      </c>
    </row>
    <row r="141" spans="1:7" ht="48" hidden="1" customHeight="1">
      <c r="A141" s="22" t="s">
        <v>202</v>
      </c>
      <c r="B141" s="8" t="s">
        <v>6</v>
      </c>
      <c r="C141" s="11" t="s">
        <v>203</v>
      </c>
      <c r="D141" s="10">
        <f>+D142</f>
        <v>33500</v>
      </c>
      <c r="E141" s="10">
        <f>+E142</f>
        <v>52000</v>
      </c>
      <c r="F141" s="10">
        <f>+F142</f>
        <v>18500</v>
      </c>
      <c r="G141" s="89">
        <f t="shared" si="59"/>
        <v>155.22388059701493</v>
      </c>
    </row>
    <row r="142" spans="1:7" ht="61.15" hidden="1" customHeight="1">
      <c r="A142" s="22" t="s">
        <v>204</v>
      </c>
      <c r="B142" s="8" t="s">
        <v>187</v>
      </c>
      <c r="C142" s="11" t="s">
        <v>205</v>
      </c>
      <c r="D142" s="10">
        <f>155000-121500</f>
        <v>33500</v>
      </c>
      <c r="E142" s="10">
        <v>52000</v>
      </c>
      <c r="F142" s="10">
        <f t="shared" ref="F142" si="60">E142-D142</f>
        <v>18500</v>
      </c>
      <c r="G142" s="89">
        <f t="shared" si="59"/>
        <v>155.22388059701493</v>
      </c>
    </row>
    <row r="143" spans="1:7" ht="28.9" hidden="1" customHeight="1">
      <c r="A143" s="22" t="s">
        <v>206</v>
      </c>
      <c r="B143" s="8" t="s">
        <v>6</v>
      </c>
      <c r="C143" s="47" t="s">
        <v>207</v>
      </c>
      <c r="D143" s="10">
        <f>+D144</f>
        <v>870000</v>
      </c>
      <c r="E143" s="10">
        <f>+E144</f>
        <v>649500</v>
      </c>
      <c r="F143" s="10">
        <f>+F144</f>
        <v>-220500</v>
      </c>
      <c r="G143" s="89">
        <f t="shared" si="59"/>
        <v>74.655172413793096</v>
      </c>
    </row>
    <row r="144" spans="1:7" ht="31.9" hidden="1" customHeight="1">
      <c r="A144" s="52" t="s">
        <v>206</v>
      </c>
      <c r="B144" s="8" t="s">
        <v>187</v>
      </c>
      <c r="C144" s="11" t="s">
        <v>207</v>
      </c>
      <c r="D144" s="10">
        <v>870000</v>
      </c>
      <c r="E144" s="10">
        <v>649500</v>
      </c>
      <c r="F144" s="10">
        <f t="shared" ref="F144" si="61">E144-D144</f>
        <v>-220500</v>
      </c>
      <c r="G144" s="89">
        <f t="shared" si="59"/>
        <v>74.655172413793096</v>
      </c>
    </row>
    <row r="145" spans="1:7" ht="57" hidden="1" customHeight="1">
      <c r="A145" s="52" t="s">
        <v>208</v>
      </c>
      <c r="B145" s="8" t="s">
        <v>6</v>
      </c>
      <c r="C145" s="47" t="s">
        <v>209</v>
      </c>
      <c r="D145" s="10">
        <f>+D146</f>
        <v>3000</v>
      </c>
      <c r="E145" s="10">
        <f>+E146</f>
        <v>3000</v>
      </c>
      <c r="F145" s="10">
        <f>+F146</f>
        <v>0</v>
      </c>
      <c r="G145" s="89">
        <f t="shared" si="59"/>
        <v>100</v>
      </c>
    </row>
    <row r="146" spans="1:7" ht="56.45" hidden="1" customHeight="1">
      <c r="A146" s="17" t="s">
        <v>210</v>
      </c>
      <c r="B146" s="8" t="s">
        <v>447</v>
      </c>
      <c r="C146" s="11" t="s">
        <v>327</v>
      </c>
      <c r="D146" s="10">
        <v>3000</v>
      </c>
      <c r="E146" s="10">
        <v>3000</v>
      </c>
      <c r="F146" s="10">
        <f t="shared" ref="F146" si="62">E146-D146</f>
        <v>0</v>
      </c>
      <c r="G146" s="89">
        <f t="shared" si="59"/>
        <v>100</v>
      </c>
    </row>
    <row r="147" spans="1:7" ht="56.45" hidden="1" customHeight="1">
      <c r="A147" s="17" t="s">
        <v>212</v>
      </c>
      <c r="B147" s="8" t="s">
        <v>6</v>
      </c>
      <c r="C147" s="47" t="s">
        <v>213</v>
      </c>
      <c r="D147" s="10">
        <f>+D148</f>
        <v>1000</v>
      </c>
      <c r="E147" s="10">
        <f t="shared" ref="E147:F147" si="63">+E148</f>
        <v>0</v>
      </c>
      <c r="F147" s="10">
        <f t="shared" si="63"/>
        <v>-1000</v>
      </c>
      <c r="G147" s="89">
        <f t="shared" si="59"/>
        <v>0</v>
      </c>
    </row>
    <row r="148" spans="1:7" ht="68.45" customHeight="1">
      <c r="A148" s="17" t="s">
        <v>214</v>
      </c>
      <c r="B148" s="8" t="s">
        <v>83</v>
      </c>
      <c r="C148" s="11" t="s">
        <v>356</v>
      </c>
      <c r="D148" s="10">
        <v>1000</v>
      </c>
      <c r="E148" s="10">
        <v>0</v>
      </c>
      <c r="F148" s="10">
        <f t="shared" ref="F148" si="64">E148-D148</f>
        <v>-1000</v>
      </c>
      <c r="G148" s="89">
        <f t="shared" si="59"/>
        <v>0</v>
      </c>
    </row>
    <row r="149" spans="1:7" ht="55.15" hidden="1" customHeight="1">
      <c r="A149" s="22" t="s">
        <v>215</v>
      </c>
      <c r="B149" s="8" t="s">
        <v>6</v>
      </c>
      <c r="C149" s="11" t="s">
        <v>216</v>
      </c>
      <c r="D149" s="10">
        <f>+D151+D150+D152</f>
        <v>914000</v>
      </c>
      <c r="E149" s="10">
        <f t="shared" ref="E149:F149" si="65">+E151+E150+E152</f>
        <v>948354.77</v>
      </c>
      <c r="F149" s="10">
        <f t="shared" si="65"/>
        <v>34354.770000000019</v>
      </c>
      <c r="G149" s="89">
        <f t="shared" si="59"/>
        <v>103.75872757111597</v>
      </c>
    </row>
    <row r="150" spans="1:7" ht="68.45" hidden="1" customHeight="1">
      <c r="A150" s="22" t="s">
        <v>215</v>
      </c>
      <c r="B150" s="8" t="s">
        <v>217</v>
      </c>
      <c r="C150" s="11" t="s">
        <v>216</v>
      </c>
      <c r="D150" s="10">
        <v>12000</v>
      </c>
      <c r="E150" s="10">
        <v>9000</v>
      </c>
      <c r="F150" s="10">
        <f t="shared" ref="F150:F152" si="66">E150-D150</f>
        <v>-3000</v>
      </c>
      <c r="G150" s="89">
        <f t="shared" si="59"/>
        <v>75</v>
      </c>
    </row>
    <row r="151" spans="1:7" ht="60.6" hidden="1" customHeight="1">
      <c r="A151" s="22" t="s">
        <v>215</v>
      </c>
      <c r="B151" s="8" t="s">
        <v>187</v>
      </c>
      <c r="C151" s="11" t="s">
        <v>216</v>
      </c>
      <c r="D151" s="10">
        <f>1000000-100000</f>
        <v>900000</v>
      </c>
      <c r="E151" s="10">
        <v>937354.77</v>
      </c>
      <c r="F151" s="10">
        <f t="shared" si="66"/>
        <v>37354.770000000019</v>
      </c>
      <c r="G151" s="89">
        <f t="shared" si="59"/>
        <v>104.15053</v>
      </c>
    </row>
    <row r="152" spans="1:7" ht="55.9" hidden="1" customHeight="1">
      <c r="A152" s="22" t="s">
        <v>215</v>
      </c>
      <c r="B152" s="8" t="s">
        <v>428</v>
      </c>
      <c r="C152" s="11" t="s">
        <v>216</v>
      </c>
      <c r="D152" s="10">
        <v>2000</v>
      </c>
      <c r="E152" s="10">
        <v>2000</v>
      </c>
      <c r="F152" s="10">
        <f t="shared" si="66"/>
        <v>0</v>
      </c>
      <c r="G152" s="89">
        <f t="shared" si="59"/>
        <v>100</v>
      </c>
    </row>
    <row r="153" spans="1:7" ht="48" hidden="1" customHeight="1">
      <c r="A153" s="19" t="s">
        <v>218</v>
      </c>
      <c r="B153" s="8" t="s">
        <v>6</v>
      </c>
      <c r="C153" s="11" t="s">
        <v>219</v>
      </c>
      <c r="D153" s="10">
        <f>+D154</f>
        <v>174000</v>
      </c>
      <c r="E153" s="10">
        <f>+E154</f>
        <v>168167.45</v>
      </c>
      <c r="F153" s="10">
        <f>+F154</f>
        <v>-5832.5499999999884</v>
      </c>
      <c r="G153" s="89">
        <f t="shared" si="59"/>
        <v>96.647959770114937</v>
      </c>
    </row>
    <row r="154" spans="1:7" ht="65.45" hidden="1" customHeight="1">
      <c r="A154" s="19" t="s">
        <v>220</v>
      </c>
      <c r="B154" s="8" t="s">
        <v>151</v>
      </c>
      <c r="C154" s="11" t="s">
        <v>221</v>
      </c>
      <c r="D154" s="10">
        <f>121200+60800-8000</f>
        <v>174000</v>
      </c>
      <c r="E154" s="10">
        <v>168167.45</v>
      </c>
      <c r="F154" s="10">
        <f t="shared" ref="F154" si="67">E154-D154</f>
        <v>-5832.5499999999884</v>
      </c>
      <c r="G154" s="89">
        <f t="shared" si="59"/>
        <v>96.647959770114937</v>
      </c>
    </row>
    <row r="155" spans="1:7" ht="30" hidden="1" customHeight="1">
      <c r="A155" s="52" t="s">
        <v>222</v>
      </c>
      <c r="B155" s="8" t="s">
        <v>6</v>
      </c>
      <c r="C155" s="11" t="s">
        <v>223</v>
      </c>
      <c r="D155" s="10">
        <f>+D156</f>
        <v>9039031</v>
      </c>
      <c r="E155" s="10">
        <f>+E156</f>
        <v>10612531.470000001</v>
      </c>
      <c r="F155" s="10">
        <f>+F156</f>
        <v>1573500.4699999997</v>
      </c>
      <c r="G155" s="89">
        <f t="shared" si="59"/>
        <v>117.40784460192693</v>
      </c>
    </row>
    <row r="156" spans="1:7" ht="43.9" hidden="1" customHeight="1">
      <c r="A156" s="52" t="s">
        <v>224</v>
      </c>
      <c r="B156" s="8" t="s">
        <v>6</v>
      </c>
      <c r="C156" s="11" t="s">
        <v>225</v>
      </c>
      <c r="D156" s="10">
        <f>+D157+D158+D159+D160+D161+D162+D163+D165+D170+D171+D167+D168+D169+D166+D164</f>
        <v>9039031</v>
      </c>
      <c r="E156" s="10">
        <f>+E157+E158+E159+E160+E161+E162+E163+E165+E170+E171+E167+E168+E169+E166+E164</f>
        <v>10612531.470000001</v>
      </c>
      <c r="F156" s="10">
        <f>+F157+F158+F159+F160+F161+F162+F163+F165+F170+F171+F167+F168+F169+F166+F164</f>
        <v>1573500.4699999997</v>
      </c>
      <c r="G156" s="89">
        <f t="shared" si="59"/>
        <v>117.40784460192693</v>
      </c>
    </row>
    <row r="157" spans="1:7" ht="46.9" hidden="1" customHeight="1">
      <c r="A157" s="104" t="s">
        <v>224</v>
      </c>
      <c r="B157" s="107" t="s">
        <v>122</v>
      </c>
      <c r="C157" s="106" t="s">
        <v>225</v>
      </c>
      <c r="D157" s="102">
        <f>10000-10000</f>
        <v>0</v>
      </c>
      <c r="E157" s="102">
        <v>1335270</v>
      </c>
      <c r="F157" s="102">
        <f t="shared" ref="F157:F171" si="68">E157-D157</f>
        <v>1335270</v>
      </c>
      <c r="G157" s="103">
        <v>0</v>
      </c>
    </row>
    <row r="158" spans="1:7" ht="44.45" hidden="1" customHeight="1">
      <c r="A158" s="52" t="s">
        <v>224</v>
      </c>
      <c r="B158" s="8" t="s">
        <v>211</v>
      </c>
      <c r="C158" s="11" t="s">
        <v>225</v>
      </c>
      <c r="D158" s="10">
        <f>3000+2800</f>
        <v>5800</v>
      </c>
      <c r="E158" s="10">
        <v>9045.56</v>
      </c>
      <c r="F158" s="10">
        <f t="shared" si="68"/>
        <v>3245.5599999999995</v>
      </c>
      <c r="G158" s="89">
        <f t="shared" si="59"/>
        <v>155.95793103448275</v>
      </c>
    </row>
    <row r="159" spans="1:7" ht="45" hidden="1" customHeight="1">
      <c r="A159" s="52" t="s">
        <v>224</v>
      </c>
      <c r="B159" s="23" t="s">
        <v>186</v>
      </c>
      <c r="C159" s="11" t="s">
        <v>225</v>
      </c>
      <c r="D159" s="10">
        <v>85000</v>
      </c>
      <c r="E159" s="10">
        <v>90000</v>
      </c>
      <c r="F159" s="10">
        <f t="shared" si="68"/>
        <v>5000</v>
      </c>
      <c r="G159" s="89">
        <f t="shared" si="59"/>
        <v>105.88235294117648</v>
      </c>
    </row>
    <row r="160" spans="1:7" ht="46.9" hidden="1" customHeight="1">
      <c r="A160" s="52" t="s">
        <v>224</v>
      </c>
      <c r="B160" s="23" t="s">
        <v>226</v>
      </c>
      <c r="C160" s="11" t="s">
        <v>225</v>
      </c>
      <c r="D160" s="10">
        <f>5000-4500</f>
        <v>500</v>
      </c>
      <c r="E160" s="10">
        <v>500</v>
      </c>
      <c r="F160" s="10">
        <f t="shared" si="68"/>
        <v>0</v>
      </c>
      <c r="G160" s="89">
        <f t="shared" si="59"/>
        <v>100</v>
      </c>
    </row>
    <row r="161" spans="1:7" ht="49.15" hidden="1" customHeight="1">
      <c r="A161" s="52" t="s">
        <v>224</v>
      </c>
      <c r="B161" s="8" t="s">
        <v>187</v>
      </c>
      <c r="C161" s="11" t="s">
        <v>225</v>
      </c>
      <c r="D161" s="10">
        <f>2750000-450000</f>
        <v>2300000</v>
      </c>
      <c r="E161" s="10">
        <v>2325614.31</v>
      </c>
      <c r="F161" s="10">
        <f t="shared" si="68"/>
        <v>25614.310000000056</v>
      </c>
      <c r="G161" s="89">
        <f t="shared" si="59"/>
        <v>101.11366565217392</v>
      </c>
    </row>
    <row r="162" spans="1:7" ht="43.15" hidden="1" customHeight="1">
      <c r="A162" s="52" t="s">
        <v>224</v>
      </c>
      <c r="B162" s="8" t="s">
        <v>227</v>
      </c>
      <c r="C162" s="11" t="s">
        <v>225</v>
      </c>
      <c r="D162" s="10">
        <f>35000+5100+4648</f>
        <v>44748</v>
      </c>
      <c r="E162" s="10">
        <v>41600</v>
      </c>
      <c r="F162" s="10">
        <f t="shared" si="68"/>
        <v>-3148</v>
      </c>
      <c r="G162" s="89">
        <f t="shared" si="59"/>
        <v>92.965048717261112</v>
      </c>
    </row>
    <row r="163" spans="1:7" ht="45.6" hidden="1" customHeight="1">
      <c r="A163" s="52" t="s">
        <v>224</v>
      </c>
      <c r="B163" s="8" t="s">
        <v>228</v>
      </c>
      <c r="C163" s="11" t="s">
        <v>225</v>
      </c>
      <c r="D163" s="10">
        <v>65000</v>
      </c>
      <c r="E163" s="10">
        <v>68662.5</v>
      </c>
      <c r="F163" s="10">
        <f t="shared" si="68"/>
        <v>3662.5</v>
      </c>
      <c r="G163" s="89">
        <f t="shared" si="59"/>
        <v>105.63461538461539</v>
      </c>
    </row>
    <row r="164" spans="1:7" ht="41.45" hidden="1" customHeight="1">
      <c r="A164" s="52" t="s">
        <v>224</v>
      </c>
      <c r="B164" s="8" t="s">
        <v>429</v>
      </c>
      <c r="C164" s="11" t="s">
        <v>225</v>
      </c>
      <c r="D164" s="10">
        <f>50100-100</f>
        <v>50000</v>
      </c>
      <c r="E164" s="10">
        <v>50000</v>
      </c>
      <c r="F164" s="10">
        <f t="shared" si="68"/>
        <v>0</v>
      </c>
      <c r="G164" s="89">
        <f t="shared" si="59"/>
        <v>100</v>
      </c>
    </row>
    <row r="165" spans="1:7" ht="40.9" hidden="1" customHeight="1">
      <c r="A165" s="52" t="s">
        <v>224</v>
      </c>
      <c r="B165" s="8" t="s">
        <v>229</v>
      </c>
      <c r="C165" s="11" t="s">
        <v>225</v>
      </c>
      <c r="D165" s="10">
        <f>10000+7000+16500</f>
        <v>33500</v>
      </c>
      <c r="E165" s="10">
        <v>39968.480000000003</v>
      </c>
      <c r="F165" s="10">
        <f t="shared" si="68"/>
        <v>6468.4800000000032</v>
      </c>
      <c r="G165" s="89">
        <f t="shared" si="59"/>
        <v>119.30889552238806</v>
      </c>
    </row>
    <row r="166" spans="1:7" ht="40.9" hidden="1" customHeight="1">
      <c r="A166" s="19" t="s">
        <v>423</v>
      </c>
      <c r="B166" s="8" t="s">
        <v>78</v>
      </c>
      <c r="C166" s="11" t="s">
        <v>225</v>
      </c>
      <c r="D166" s="10">
        <f>103+18651</f>
        <v>18754</v>
      </c>
      <c r="E166" s="10">
        <v>24884</v>
      </c>
      <c r="F166" s="10">
        <f t="shared" si="68"/>
        <v>6130</v>
      </c>
      <c r="G166" s="89">
        <f t="shared" si="59"/>
        <v>132.68636024314813</v>
      </c>
    </row>
    <row r="167" spans="1:7" ht="47.45" hidden="1" customHeight="1">
      <c r="A167" s="19" t="s">
        <v>306</v>
      </c>
      <c r="B167" s="8" t="s">
        <v>78</v>
      </c>
      <c r="C167" s="11" t="s">
        <v>307</v>
      </c>
      <c r="D167" s="10">
        <f>290000-94000+106505</f>
        <v>302505</v>
      </c>
      <c r="E167" s="10">
        <v>274198.53999999998</v>
      </c>
      <c r="F167" s="10">
        <f t="shared" si="68"/>
        <v>-28306.460000000021</v>
      </c>
      <c r="G167" s="89">
        <f t="shared" si="59"/>
        <v>90.642647228971413</v>
      </c>
    </row>
    <row r="168" spans="1:7" ht="48.6" hidden="1" customHeight="1">
      <c r="A168" s="17" t="s">
        <v>308</v>
      </c>
      <c r="B168" s="8" t="s">
        <v>78</v>
      </c>
      <c r="C168" s="11" t="s">
        <v>309</v>
      </c>
      <c r="D168" s="10">
        <f>4528000-928000+100000</f>
        <v>3700000</v>
      </c>
      <c r="E168" s="10">
        <v>3846675.59</v>
      </c>
      <c r="F168" s="10">
        <f t="shared" si="68"/>
        <v>146675.58999999985</v>
      </c>
      <c r="G168" s="89">
        <f t="shared" si="59"/>
        <v>103.96420513513513</v>
      </c>
    </row>
    <row r="169" spans="1:7" ht="42" hidden="1" customHeight="1">
      <c r="A169" s="52" t="s">
        <v>224</v>
      </c>
      <c r="B169" s="8" t="s">
        <v>366</v>
      </c>
      <c r="C169" s="11" t="s">
        <v>225</v>
      </c>
      <c r="D169" s="10">
        <v>1584000</v>
      </c>
      <c r="E169" s="10">
        <v>1584083.42</v>
      </c>
      <c r="F169" s="10">
        <f t="shared" si="68"/>
        <v>83.419999999925494</v>
      </c>
      <c r="G169" s="89">
        <f t="shared" si="59"/>
        <v>100.0052664141414</v>
      </c>
    </row>
    <row r="170" spans="1:7" ht="42.6" hidden="1" customHeight="1">
      <c r="A170" s="52" t="s">
        <v>224</v>
      </c>
      <c r="B170" s="8" t="s">
        <v>151</v>
      </c>
      <c r="C170" s="11" t="s">
        <v>225</v>
      </c>
      <c r="D170" s="10">
        <f>516000+6000+35000+4224</f>
        <v>561224</v>
      </c>
      <c r="E170" s="10">
        <v>557589.43999999994</v>
      </c>
      <c r="F170" s="10">
        <f t="shared" si="68"/>
        <v>-3634.5600000000559</v>
      </c>
      <c r="G170" s="89">
        <f t="shared" si="59"/>
        <v>99.3523869257195</v>
      </c>
    </row>
    <row r="171" spans="1:7" ht="42" customHeight="1">
      <c r="A171" s="52" t="s">
        <v>224</v>
      </c>
      <c r="B171" s="8" t="s">
        <v>83</v>
      </c>
      <c r="C171" s="11" t="s">
        <v>225</v>
      </c>
      <c r="D171" s="10">
        <f>500000-212000</f>
        <v>288000</v>
      </c>
      <c r="E171" s="10">
        <v>364439.63</v>
      </c>
      <c r="F171" s="10">
        <f t="shared" si="68"/>
        <v>76439.63</v>
      </c>
      <c r="G171" s="89">
        <f t="shared" si="59"/>
        <v>126.54153819444444</v>
      </c>
    </row>
    <row r="172" spans="1:7" ht="16.899999999999999" hidden="1" customHeight="1">
      <c r="A172" s="52" t="s">
        <v>230</v>
      </c>
      <c r="B172" s="8" t="s">
        <v>6</v>
      </c>
      <c r="C172" s="11" t="s">
        <v>231</v>
      </c>
      <c r="D172" s="10">
        <f>+D175+D173</f>
        <v>7659750</v>
      </c>
      <c r="E172" s="10">
        <f t="shared" ref="E172:F172" si="69">+E175+E173</f>
        <v>7432429.5899999999</v>
      </c>
      <c r="F172" s="10">
        <f t="shared" si="69"/>
        <v>-227320.40999999995</v>
      </c>
      <c r="G172" s="89">
        <f t="shared" si="59"/>
        <v>97.032273768726128</v>
      </c>
    </row>
    <row r="173" spans="1:7" ht="19.149999999999999" hidden="1" customHeight="1">
      <c r="A173" s="52" t="s">
        <v>455</v>
      </c>
      <c r="B173" s="8" t="s">
        <v>6</v>
      </c>
      <c r="C173" s="11" t="s">
        <v>233</v>
      </c>
      <c r="D173" s="10">
        <f>D174</f>
        <v>0</v>
      </c>
      <c r="E173" s="10">
        <f t="shared" ref="E173:F173" si="70">E174</f>
        <v>-18474.91</v>
      </c>
      <c r="F173" s="10">
        <f t="shared" si="70"/>
        <v>-18474.91</v>
      </c>
      <c r="G173" s="89">
        <v>0</v>
      </c>
    </row>
    <row r="174" spans="1:7" ht="28.9" hidden="1" customHeight="1">
      <c r="A174" s="52" t="s">
        <v>456</v>
      </c>
      <c r="B174" s="8" t="s">
        <v>6</v>
      </c>
      <c r="C174" s="11" t="s">
        <v>457</v>
      </c>
      <c r="D174" s="10">
        <v>0</v>
      </c>
      <c r="E174" s="10">
        <v>-18474.91</v>
      </c>
      <c r="F174" s="10">
        <f t="shared" ref="F174" si="71">E174-D174</f>
        <v>-18474.91</v>
      </c>
      <c r="G174" s="89">
        <v>0</v>
      </c>
    </row>
    <row r="175" spans="1:7" ht="18.600000000000001" hidden="1" customHeight="1">
      <c r="A175" s="52" t="s">
        <v>232</v>
      </c>
      <c r="B175" s="8" t="s">
        <v>6</v>
      </c>
      <c r="C175" s="11" t="s">
        <v>233</v>
      </c>
      <c r="D175" s="10">
        <f t="shared" ref="D175:F175" si="72">+D176</f>
        <v>7659750</v>
      </c>
      <c r="E175" s="10">
        <f t="shared" si="72"/>
        <v>7450904.5</v>
      </c>
      <c r="F175" s="10">
        <f t="shared" si="72"/>
        <v>-208845.49999999994</v>
      </c>
      <c r="G175" s="89">
        <f t="shared" si="59"/>
        <v>97.273468455236795</v>
      </c>
    </row>
    <row r="176" spans="1:7" ht="22.15" hidden="1" customHeight="1">
      <c r="A176" s="52" t="s">
        <v>234</v>
      </c>
      <c r="B176" s="8" t="s">
        <v>6</v>
      </c>
      <c r="C176" s="11" t="s">
        <v>235</v>
      </c>
      <c r="D176" s="10">
        <f>+D177+D178+D179+D182+D185+D188+D189</f>
        <v>7659750</v>
      </c>
      <c r="E176" s="10">
        <f t="shared" ref="E176:F176" si="73">+E177+E178+E179+E182+E185+E188+E189</f>
        <v>7450904.5</v>
      </c>
      <c r="F176" s="10">
        <f t="shared" si="73"/>
        <v>-208845.49999999994</v>
      </c>
      <c r="G176" s="89">
        <f t="shared" si="59"/>
        <v>97.273468455236795</v>
      </c>
    </row>
    <row r="177" spans="1:8" ht="22.15" hidden="1" customHeight="1">
      <c r="A177" s="52" t="s">
        <v>391</v>
      </c>
      <c r="B177" s="8" t="s">
        <v>78</v>
      </c>
      <c r="C177" s="11" t="s">
        <v>235</v>
      </c>
      <c r="D177" s="10">
        <v>24000</v>
      </c>
      <c r="E177" s="10">
        <v>23439.59</v>
      </c>
      <c r="F177" s="10">
        <f t="shared" ref="F177:F178" si="74">E177-D177</f>
        <v>-560.40999999999985</v>
      </c>
      <c r="G177" s="89">
        <f t="shared" si="59"/>
        <v>97.664958333333331</v>
      </c>
    </row>
    <row r="178" spans="1:8" ht="47.45" hidden="1" customHeight="1">
      <c r="A178" s="52" t="s">
        <v>310</v>
      </c>
      <c r="B178" s="8" t="s">
        <v>78</v>
      </c>
      <c r="C178" s="11" t="s">
        <v>236</v>
      </c>
      <c r="D178" s="10">
        <f>60000-5000</f>
        <v>55000</v>
      </c>
      <c r="E178" s="10">
        <v>56504.26</v>
      </c>
      <c r="F178" s="10">
        <f t="shared" si="74"/>
        <v>1504.260000000002</v>
      </c>
      <c r="G178" s="89">
        <f t="shared" si="59"/>
        <v>102.73501818181818</v>
      </c>
    </row>
    <row r="179" spans="1:8" ht="24" hidden="1" customHeight="1">
      <c r="A179" s="52" t="s">
        <v>234</v>
      </c>
      <c r="B179" s="8" t="s">
        <v>6</v>
      </c>
      <c r="C179" s="11" t="s">
        <v>394</v>
      </c>
      <c r="D179" s="10">
        <f>+D180+D181</f>
        <v>4711350</v>
      </c>
      <c r="E179" s="10">
        <f>+E180+E181</f>
        <v>4613969.3899999997</v>
      </c>
      <c r="F179" s="10">
        <f>+F180+F181</f>
        <v>-97380.609999999928</v>
      </c>
      <c r="G179" s="89">
        <f t="shared" si="59"/>
        <v>97.933063559277059</v>
      </c>
    </row>
    <row r="180" spans="1:8" ht="48" hidden="1" customHeight="1">
      <c r="A180" s="52" t="s">
        <v>341</v>
      </c>
      <c r="B180" s="8" t="s">
        <v>78</v>
      </c>
      <c r="C180" s="11" t="s">
        <v>344</v>
      </c>
      <c r="D180" s="10">
        <v>4711350</v>
      </c>
      <c r="E180" s="10">
        <v>4587811.58</v>
      </c>
      <c r="F180" s="10">
        <f t="shared" ref="F180" si="75">E180-D180</f>
        <v>-123538.41999999993</v>
      </c>
      <c r="G180" s="89">
        <f t="shared" si="59"/>
        <v>97.377855179513304</v>
      </c>
    </row>
    <row r="181" spans="1:8" ht="46.9" hidden="1" customHeight="1">
      <c r="A181" s="104" t="s">
        <v>461</v>
      </c>
      <c r="B181" s="107" t="s">
        <v>78</v>
      </c>
      <c r="C181" s="106" t="s">
        <v>458</v>
      </c>
      <c r="D181" s="102">
        <v>0</v>
      </c>
      <c r="E181" s="102">
        <v>26157.81</v>
      </c>
      <c r="F181" s="102">
        <f>E181-D181</f>
        <v>26157.81</v>
      </c>
      <c r="G181" s="103">
        <v>0</v>
      </c>
      <c r="H181" s="93"/>
    </row>
    <row r="182" spans="1:8" ht="16.149999999999999" hidden="1" customHeight="1">
      <c r="A182" s="52" t="s">
        <v>234</v>
      </c>
      <c r="B182" s="8" t="s">
        <v>6</v>
      </c>
      <c r="C182" s="11" t="s">
        <v>395</v>
      </c>
      <c r="D182" s="10">
        <f>+D183+D184</f>
        <v>1751300</v>
      </c>
      <c r="E182" s="10">
        <f>+E183+E184</f>
        <v>1788284.02</v>
      </c>
      <c r="F182" s="10">
        <f>+F183+F184</f>
        <v>36984.019999999982</v>
      </c>
      <c r="G182" s="89">
        <f t="shared" si="59"/>
        <v>102.11180380288928</v>
      </c>
    </row>
    <row r="183" spans="1:8" ht="60.6" hidden="1" customHeight="1">
      <c r="A183" s="52" t="s">
        <v>343</v>
      </c>
      <c r="B183" s="8" t="s">
        <v>78</v>
      </c>
      <c r="C183" s="11" t="s">
        <v>328</v>
      </c>
      <c r="D183" s="10">
        <v>1751300</v>
      </c>
      <c r="E183" s="10">
        <v>1779710.48</v>
      </c>
      <c r="F183" s="10">
        <f t="shared" ref="F183" si="76">E183-D183</f>
        <v>28410.479999999981</v>
      </c>
      <c r="G183" s="89">
        <f t="shared" si="59"/>
        <v>101.62225089933192</v>
      </c>
    </row>
    <row r="184" spans="1:8" ht="60.6" hidden="1" customHeight="1">
      <c r="A184" s="104" t="s">
        <v>462</v>
      </c>
      <c r="B184" s="107" t="s">
        <v>78</v>
      </c>
      <c r="C184" s="106" t="s">
        <v>459</v>
      </c>
      <c r="D184" s="102">
        <v>0</v>
      </c>
      <c r="E184" s="102">
        <v>8573.5400000000009</v>
      </c>
      <c r="F184" s="102">
        <f>E184-D184</f>
        <v>8573.5400000000009</v>
      </c>
      <c r="G184" s="103">
        <v>0</v>
      </c>
    </row>
    <row r="185" spans="1:8" ht="22.9" hidden="1" customHeight="1">
      <c r="A185" s="52" t="s">
        <v>234</v>
      </c>
      <c r="B185" s="8" t="s">
        <v>6</v>
      </c>
      <c r="C185" s="11" t="s">
        <v>396</v>
      </c>
      <c r="D185" s="10">
        <f>+D186+D187</f>
        <v>624000</v>
      </c>
      <c r="E185" s="10">
        <f t="shared" ref="E185:F185" si="77">+E186+E187</f>
        <v>474722.19</v>
      </c>
      <c r="F185" s="10">
        <f t="shared" si="77"/>
        <v>-149277.81</v>
      </c>
      <c r="G185" s="89">
        <f t="shared" si="59"/>
        <v>76.077274038461539</v>
      </c>
    </row>
    <row r="186" spans="1:8" ht="33.6" hidden="1" customHeight="1">
      <c r="A186" s="52" t="s">
        <v>342</v>
      </c>
      <c r="B186" s="8" t="s">
        <v>78</v>
      </c>
      <c r="C186" s="11" t="s">
        <v>329</v>
      </c>
      <c r="D186" s="10">
        <f>235000+284000+105000</f>
        <v>624000</v>
      </c>
      <c r="E186" s="10">
        <v>474445.56</v>
      </c>
      <c r="F186" s="10">
        <f t="shared" ref="F186:F189" si="78">E186-D186</f>
        <v>-149554.44</v>
      </c>
      <c r="G186" s="89">
        <f t="shared" si="59"/>
        <v>76.032942307692309</v>
      </c>
    </row>
    <row r="187" spans="1:8" ht="31.9" hidden="1" customHeight="1">
      <c r="A187" s="104" t="s">
        <v>463</v>
      </c>
      <c r="B187" s="107" t="s">
        <v>78</v>
      </c>
      <c r="C187" s="106" t="s">
        <v>460</v>
      </c>
      <c r="D187" s="102">
        <v>0</v>
      </c>
      <c r="E187" s="102">
        <v>276.63</v>
      </c>
      <c r="F187" s="102">
        <f t="shared" si="78"/>
        <v>276.63</v>
      </c>
      <c r="G187" s="103">
        <v>0</v>
      </c>
    </row>
    <row r="188" spans="1:8" ht="20.45" hidden="1" customHeight="1">
      <c r="A188" s="52" t="s">
        <v>391</v>
      </c>
      <c r="B188" s="8" t="s">
        <v>151</v>
      </c>
      <c r="C188" s="11" t="s">
        <v>235</v>
      </c>
      <c r="D188" s="10">
        <f>100+50000</f>
        <v>50100</v>
      </c>
      <c r="E188" s="10">
        <v>50100</v>
      </c>
      <c r="F188" s="10">
        <f t="shared" si="78"/>
        <v>0</v>
      </c>
      <c r="G188" s="89">
        <f t="shared" si="59"/>
        <v>100</v>
      </c>
    </row>
    <row r="189" spans="1:8" ht="24" customHeight="1">
      <c r="A189" s="77" t="s">
        <v>391</v>
      </c>
      <c r="B189" s="8" t="s">
        <v>83</v>
      </c>
      <c r="C189" s="11" t="s">
        <v>235</v>
      </c>
      <c r="D189" s="10">
        <f>500000-56000</f>
        <v>444000</v>
      </c>
      <c r="E189" s="10">
        <v>443885.05</v>
      </c>
      <c r="F189" s="10">
        <f t="shared" si="78"/>
        <v>-114.95000000001164</v>
      </c>
      <c r="G189" s="89">
        <f t="shared" si="59"/>
        <v>99.974110360360356</v>
      </c>
    </row>
    <row r="190" spans="1:8" ht="19.899999999999999" hidden="1" customHeight="1">
      <c r="A190" s="52" t="s">
        <v>237</v>
      </c>
      <c r="B190" s="8" t="s">
        <v>6</v>
      </c>
      <c r="C190" s="11" t="s">
        <v>238</v>
      </c>
      <c r="D190" s="10">
        <f>+D191+D245+D254+D248</f>
        <v>2074098291.1400001</v>
      </c>
      <c r="E190" s="10">
        <f t="shared" ref="E190:F190" si="79">+E191+E245+E254+E248</f>
        <v>2014552305.9599998</v>
      </c>
      <c r="F190" s="10">
        <f t="shared" si="79"/>
        <v>-59545985.180000007</v>
      </c>
      <c r="G190" s="89">
        <f t="shared" si="59"/>
        <v>97.129066378658862</v>
      </c>
    </row>
    <row r="191" spans="1:8" ht="33" hidden="1" customHeight="1">
      <c r="A191" s="54" t="s">
        <v>239</v>
      </c>
      <c r="B191" s="8" t="s">
        <v>6</v>
      </c>
      <c r="C191" s="11" t="s">
        <v>240</v>
      </c>
      <c r="D191" s="10">
        <f>+D224+D192+D198</f>
        <v>2070917598.2</v>
      </c>
      <c r="E191" s="10">
        <f t="shared" ref="E191:F191" si="80">+E224+E192+E198</f>
        <v>2011321740.8199999</v>
      </c>
      <c r="F191" s="10">
        <f t="shared" si="80"/>
        <v>-59595857.380000003</v>
      </c>
      <c r="G191" s="89">
        <f t="shared" si="59"/>
        <v>97.12224873496659</v>
      </c>
    </row>
    <row r="192" spans="1:8" ht="22.15" hidden="1" customHeight="1">
      <c r="A192" s="54" t="s">
        <v>241</v>
      </c>
      <c r="B192" s="8" t="s">
        <v>6</v>
      </c>
      <c r="C192" s="11" t="s">
        <v>311</v>
      </c>
      <c r="D192" s="10">
        <f>+D193+D196</f>
        <v>247841700</v>
      </c>
      <c r="E192" s="10">
        <f>+E193+E196</f>
        <v>247841700</v>
      </c>
      <c r="F192" s="10">
        <f>+F193+F196</f>
        <v>0</v>
      </c>
      <c r="G192" s="89">
        <f t="shared" si="59"/>
        <v>100</v>
      </c>
    </row>
    <row r="193" spans="1:14" ht="24.6" hidden="1" customHeight="1">
      <c r="A193" s="19" t="s">
        <v>242</v>
      </c>
      <c r="B193" s="8" t="s">
        <v>6</v>
      </c>
      <c r="C193" s="47" t="s">
        <v>312</v>
      </c>
      <c r="D193" s="10">
        <f>+D194+D195</f>
        <v>201502200</v>
      </c>
      <c r="E193" s="10">
        <f t="shared" ref="E193:F193" si="81">+E194+E195</f>
        <v>201502200</v>
      </c>
      <c r="F193" s="10">
        <f t="shared" si="81"/>
        <v>0</v>
      </c>
      <c r="G193" s="89">
        <f t="shared" si="59"/>
        <v>100</v>
      </c>
    </row>
    <row r="194" spans="1:14" ht="47.45" hidden="1" customHeight="1">
      <c r="A194" s="55" t="s">
        <v>330</v>
      </c>
      <c r="B194" s="8" t="s">
        <v>150</v>
      </c>
      <c r="C194" s="11" t="s">
        <v>333</v>
      </c>
      <c r="D194" s="10">
        <v>75634300</v>
      </c>
      <c r="E194" s="10">
        <v>75634300</v>
      </c>
      <c r="F194" s="10">
        <f t="shared" ref="F194:F197" si="82">E194-D194</f>
        <v>0</v>
      </c>
      <c r="G194" s="89">
        <f t="shared" si="59"/>
        <v>100</v>
      </c>
    </row>
    <row r="195" spans="1:14" ht="48.6" hidden="1" customHeight="1">
      <c r="A195" s="55" t="s">
        <v>331</v>
      </c>
      <c r="B195" s="8" t="s">
        <v>150</v>
      </c>
      <c r="C195" s="11" t="s">
        <v>332</v>
      </c>
      <c r="D195" s="10">
        <v>125867900</v>
      </c>
      <c r="E195" s="10">
        <v>125867900</v>
      </c>
      <c r="F195" s="10">
        <f t="shared" si="82"/>
        <v>0</v>
      </c>
      <c r="G195" s="89">
        <f t="shared" si="59"/>
        <v>100</v>
      </c>
    </row>
    <row r="196" spans="1:14" ht="32.450000000000003" hidden="1" customHeight="1">
      <c r="A196" s="55" t="s">
        <v>420</v>
      </c>
      <c r="B196" s="8" t="s">
        <v>6</v>
      </c>
      <c r="C196" s="11" t="s">
        <v>417</v>
      </c>
      <c r="D196" s="10">
        <f>+D197</f>
        <v>46339500</v>
      </c>
      <c r="E196" s="10">
        <f t="shared" ref="E196:F196" si="83">+E197</f>
        <v>46339500</v>
      </c>
      <c r="F196" s="10">
        <f t="shared" si="83"/>
        <v>0</v>
      </c>
      <c r="G196" s="89">
        <f t="shared" si="59"/>
        <v>100</v>
      </c>
    </row>
    <row r="197" spans="1:14" ht="31.9" hidden="1" customHeight="1">
      <c r="A197" s="76" t="s">
        <v>418</v>
      </c>
      <c r="B197" s="8" t="s">
        <v>150</v>
      </c>
      <c r="C197" s="15" t="s">
        <v>419</v>
      </c>
      <c r="D197" s="10">
        <v>46339500</v>
      </c>
      <c r="E197" s="10">
        <v>46339500</v>
      </c>
      <c r="F197" s="10">
        <f t="shared" si="82"/>
        <v>0</v>
      </c>
      <c r="G197" s="89">
        <f t="shared" si="59"/>
        <v>100</v>
      </c>
    </row>
    <row r="198" spans="1:14" ht="33.6" hidden="1" customHeight="1">
      <c r="A198" s="52" t="s">
        <v>243</v>
      </c>
      <c r="B198" s="8" t="s">
        <v>6</v>
      </c>
      <c r="C198" s="8" t="s">
        <v>313</v>
      </c>
      <c r="D198" s="10">
        <f>+D203+D205+D207+D211+D199+D210+D201</f>
        <v>292177698.20000005</v>
      </c>
      <c r="E198" s="10">
        <f t="shared" ref="E198:F198" si="84">+E203+E205+E207+E211+E199+E210+E201</f>
        <v>232608106.95000002</v>
      </c>
      <c r="F198" s="10">
        <f t="shared" si="84"/>
        <v>-59569591.25</v>
      </c>
      <c r="G198" s="89">
        <f t="shared" si="59"/>
        <v>79.611862364243919</v>
      </c>
    </row>
    <row r="199" spans="1:14" s="25" customFormat="1" ht="31.9" hidden="1" customHeight="1">
      <c r="A199" s="52" t="s">
        <v>401</v>
      </c>
      <c r="B199" s="8" t="s">
        <v>6</v>
      </c>
      <c r="C199" s="8" t="s">
        <v>406</v>
      </c>
      <c r="D199" s="26">
        <f>D200</f>
        <v>7438000</v>
      </c>
      <c r="E199" s="26">
        <f>E200</f>
        <v>0</v>
      </c>
      <c r="F199" s="26">
        <f>F200</f>
        <v>-7438000</v>
      </c>
      <c r="G199" s="89">
        <f t="shared" si="59"/>
        <v>0</v>
      </c>
      <c r="H199" s="87"/>
      <c r="I199" s="43"/>
      <c r="J199" s="87"/>
      <c r="K199" s="87"/>
      <c r="L199" s="87"/>
      <c r="M199" s="87"/>
      <c r="N199" s="87"/>
    </row>
    <row r="200" spans="1:14" s="25" customFormat="1" ht="38.450000000000003" customHeight="1">
      <c r="A200" s="52" t="s">
        <v>402</v>
      </c>
      <c r="B200" s="8" t="s">
        <v>83</v>
      </c>
      <c r="C200" s="8" t="s">
        <v>405</v>
      </c>
      <c r="D200" s="26">
        <v>7438000</v>
      </c>
      <c r="E200" s="26">
        <v>0</v>
      </c>
      <c r="F200" s="10">
        <f t="shared" ref="F200" si="85">E200-D200</f>
        <v>-7438000</v>
      </c>
      <c r="G200" s="89">
        <f t="shared" si="59"/>
        <v>0</v>
      </c>
      <c r="H200" s="87"/>
      <c r="I200" s="43"/>
      <c r="J200" s="87"/>
      <c r="K200" s="87"/>
      <c r="L200" s="87"/>
      <c r="M200" s="87"/>
      <c r="N200" s="87"/>
    </row>
    <row r="201" spans="1:14" s="25" customFormat="1" ht="50.45" hidden="1" customHeight="1">
      <c r="A201" s="52" t="s">
        <v>432</v>
      </c>
      <c r="B201" s="8" t="s">
        <v>6</v>
      </c>
      <c r="C201" s="8" t="s">
        <v>433</v>
      </c>
      <c r="D201" s="26">
        <f>+D202</f>
        <v>102564</v>
      </c>
      <c r="E201" s="26">
        <f t="shared" ref="E201:F201" si="86">+E202</f>
        <v>102564</v>
      </c>
      <c r="F201" s="26">
        <f t="shared" si="86"/>
        <v>0</v>
      </c>
      <c r="G201" s="89">
        <f t="shared" si="59"/>
        <v>100</v>
      </c>
      <c r="H201" s="87"/>
      <c r="I201" s="43"/>
      <c r="J201" s="87"/>
      <c r="K201" s="87"/>
      <c r="L201" s="87"/>
      <c r="M201" s="87"/>
      <c r="N201" s="87"/>
    </row>
    <row r="202" spans="1:14" s="25" customFormat="1" ht="61.9" hidden="1" customHeight="1">
      <c r="A202" s="52" t="s">
        <v>430</v>
      </c>
      <c r="B202" s="8" t="s">
        <v>366</v>
      </c>
      <c r="C202" s="8" t="s">
        <v>431</v>
      </c>
      <c r="D202" s="26">
        <v>102564</v>
      </c>
      <c r="E202" s="26">
        <v>102564</v>
      </c>
      <c r="F202" s="10">
        <f t="shared" ref="F202:F210" si="87">E202-D202</f>
        <v>0</v>
      </c>
      <c r="G202" s="89">
        <f t="shared" si="59"/>
        <v>100</v>
      </c>
      <c r="H202" s="87"/>
      <c r="I202" s="43"/>
      <c r="J202" s="87"/>
      <c r="K202" s="87"/>
      <c r="L202" s="87"/>
      <c r="M202" s="87"/>
      <c r="N202" s="87"/>
    </row>
    <row r="203" spans="1:14" ht="63" hidden="1" customHeight="1">
      <c r="A203" s="52" t="s">
        <v>434</v>
      </c>
      <c r="B203" s="8" t="s">
        <v>6</v>
      </c>
      <c r="C203" s="8" t="s">
        <v>369</v>
      </c>
      <c r="D203" s="10">
        <f>D204</f>
        <v>5909989.3200000003</v>
      </c>
      <c r="E203" s="10">
        <f>E204</f>
        <v>5909989.3200000003</v>
      </c>
      <c r="F203" s="10">
        <f>F204</f>
        <v>0</v>
      </c>
      <c r="G203" s="89">
        <f t="shared" si="59"/>
        <v>100</v>
      </c>
    </row>
    <row r="204" spans="1:14" ht="68.45" hidden="1" customHeight="1">
      <c r="A204" s="52" t="s">
        <v>365</v>
      </c>
      <c r="B204" s="8" t="s">
        <v>364</v>
      </c>
      <c r="C204" s="8" t="s">
        <v>363</v>
      </c>
      <c r="D204" s="10">
        <v>5909989.3200000003</v>
      </c>
      <c r="E204" s="10">
        <v>5909989.3200000003</v>
      </c>
      <c r="F204" s="10">
        <f t="shared" si="87"/>
        <v>0</v>
      </c>
      <c r="G204" s="89">
        <f t="shared" si="59"/>
        <v>100</v>
      </c>
    </row>
    <row r="205" spans="1:14" s="25" customFormat="1" ht="33.6" hidden="1" customHeight="1">
      <c r="A205" s="52" t="s">
        <v>377</v>
      </c>
      <c r="B205" s="8" t="s">
        <v>6</v>
      </c>
      <c r="C205" s="8" t="s">
        <v>368</v>
      </c>
      <c r="D205" s="26">
        <f>D206</f>
        <v>22771035</v>
      </c>
      <c r="E205" s="26">
        <f t="shared" ref="E205:F205" si="88">E206</f>
        <v>22771035</v>
      </c>
      <c r="F205" s="26">
        <f t="shared" si="88"/>
        <v>0</v>
      </c>
      <c r="G205" s="89">
        <f t="shared" ref="G205:G268" si="89">E205/D205*100</f>
        <v>100</v>
      </c>
      <c r="H205" s="87"/>
      <c r="I205" s="43"/>
      <c r="J205" s="87"/>
      <c r="K205" s="87"/>
      <c r="L205" s="87"/>
      <c r="M205" s="87"/>
      <c r="N205" s="87"/>
    </row>
    <row r="206" spans="1:14" s="25" customFormat="1" ht="37.15" hidden="1" customHeight="1">
      <c r="A206" s="52" t="s">
        <v>376</v>
      </c>
      <c r="B206" s="8" t="s">
        <v>366</v>
      </c>
      <c r="C206" s="8" t="s">
        <v>367</v>
      </c>
      <c r="D206" s="26">
        <v>22771035</v>
      </c>
      <c r="E206" s="26">
        <v>22771035</v>
      </c>
      <c r="F206" s="10">
        <f t="shared" si="87"/>
        <v>0</v>
      </c>
      <c r="G206" s="89">
        <f t="shared" si="89"/>
        <v>100</v>
      </c>
      <c r="H206" s="87"/>
      <c r="I206" s="43"/>
      <c r="J206" s="87"/>
      <c r="K206" s="87"/>
      <c r="L206" s="87"/>
      <c r="M206" s="87"/>
      <c r="N206" s="87"/>
    </row>
    <row r="207" spans="1:14" s="25" customFormat="1" ht="20.45" hidden="1" customHeight="1">
      <c r="A207" s="52" t="s">
        <v>370</v>
      </c>
      <c r="B207" s="8" t="s">
        <v>6</v>
      </c>
      <c r="C207" s="8" t="s">
        <v>372</v>
      </c>
      <c r="D207" s="26">
        <f>D208</f>
        <v>76602</v>
      </c>
      <c r="E207" s="26">
        <f t="shared" ref="E207:F207" si="90">E208</f>
        <v>76602</v>
      </c>
      <c r="F207" s="26">
        <f t="shared" si="90"/>
        <v>0</v>
      </c>
      <c r="G207" s="89">
        <f t="shared" si="89"/>
        <v>100</v>
      </c>
      <c r="H207" s="87"/>
      <c r="I207" s="43"/>
      <c r="J207" s="87"/>
      <c r="K207" s="87"/>
      <c r="L207" s="87"/>
      <c r="M207" s="87"/>
      <c r="N207" s="87"/>
    </row>
    <row r="208" spans="1:14" s="25" customFormat="1" ht="34.9" hidden="1" customHeight="1">
      <c r="A208" s="52" t="s">
        <v>371</v>
      </c>
      <c r="B208" s="8" t="s">
        <v>364</v>
      </c>
      <c r="C208" s="8" t="s">
        <v>400</v>
      </c>
      <c r="D208" s="26">
        <v>76602</v>
      </c>
      <c r="E208" s="26">
        <v>76602</v>
      </c>
      <c r="F208" s="10">
        <f t="shared" si="87"/>
        <v>0</v>
      </c>
      <c r="G208" s="89">
        <f t="shared" si="89"/>
        <v>100</v>
      </c>
      <c r="H208" s="87"/>
      <c r="I208" s="43"/>
      <c r="J208" s="87"/>
      <c r="K208" s="87"/>
      <c r="L208" s="87"/>
      <c r="M208" s="87"/>
      <c r="N208" s="87"/>
    </row>
    <row r="209" spans="1:14" s="25" customFormat="1" ht="33" hidden="1" customHeight="1">
      <c r="A209" s="52" t="s">
        <v>476</v>
      </c>
      <c r="B209" s="8" t="s">
        <v>6</v>
      </c>
      <c r="C209" s="8" t="s">
        <v>416</v>
      </c>
      <c r="D209" s="26">
        <f>+D210</f>
        <v>4195094.92</v>
      </c>
      <c r="E209" s="26">
        <f t="shared" ref="E209:F209" si="91">+E210</f>
        <v>4195094.92</v>
      </c>
      <c r="F209" s="26">
        <f t="shared" si="91"/>
        <v>0</v>
      </c>
      <c r="G209" s="89">
        <f t="shared" si="89"/>
        <v>100</v>
      </c>
      <c r="H209" s="87"/>
      <c r="I209" s="43"/>
      <c r="J209" s="87"/>
      <c r="K209" s="87"/>
      <c r="L209" s="87"/>
      <c r="M209" s="87"/>
      <c r="N209" s="87"/>
    </row>
    <row r="210" spans="1:14" s="25" customFormat="1" ht="33.6" customHeight="1">
      <c r="A210" s="52" t="s">
        <v>477</v>
      </c>
      <c r="B210" s="8" t="s">
        <v>83</v>
      </c>
      <c r="C210" s="8" t="s">
        <v>415</v>
      </c>
      <c r="D210" s="26">
        <v>4195094.92</v>
      </c>
      <c r="E210" s="26">
        <v>4195094.92</v>
      </c>
      <c r="F210" s="10">
        <f t="shared" si="87"/>
        <v>0</v>
      </c>
      <c r="G210" s="89">
        <f t="shared" si="89"/>
        <v>100</v>
      </c>
      <c r="H210" s="87"/>
      <c r="I210" s="43"/>
      <c r="J210" s="87"/>
      <c r="K210" s="87"/>
      <c r="L210" s="87"/>
      <c r="M210" s="87"/>
      <c r="N210" s="87"/>
    </row>
    <row r="211" spans="1:14" ht="24" hidden="1" customHeight="1">
      <c r="A211" s="52" t="s">
        <v>244</v>
      </c>
      <c r="B211" s="8" t="s">
        <v>6</v>
      </c>
      <c r="C211" s="20" t="s">
        <v>314</v>
      </c>
      <c r="D211" s="10">
        <f>+D212</f>
        <v>251684412.96000001</v>
      </c>
      <c r="E211" s="10">
        <f t="shared" ref="E211:F211" si="92">+E212</f>
        <v>199552821.71000004</v>
      </c>
      <c r="F211" s="10">
        <f t="shared" si="92"/>
        <v>-52131591.25</v>
      </c>
      <c r="G211" s="89">
        <f t="shared" si="89"/>
        <v>79.286921014737132</v>
      </c>
    </row>
    <row r="212" spans="1:14" ht="25.9" hidden="1" customHeight="1">
      <c r="A212" s="52" t="s">
        <v>245</v>
      </c>
      <c r="B212" s="8" t="s">
        <v>6</v>
      </c>
      <c r="C212" s="20" t="s">
        <v>315</v>
      </c>
      <c r="D212" s="10">
        <f>+D214+D215+D216+D222+D219+D220+D221+D213+D217+D2067+D218+D223</f>
        <v>251684412.96000001</v>
      </c>
      <c r="E212" s="10">
        <f>+E214+E215+E216+E222+E219+E220+E221+E213+E217+E2067+E218+E223</f>
        <v>199552821.71000004</v>
      </c>
      <c r="F212" s="10">
        <f>+F214+F215+F216+F222+F219+F220+F221+F213+F217+F2067+F218+F223</f>
        <v>-52131591.25</v>
      </c>
      <c r="G212" s="89">
        <f t="shared" si="89"/>
        <v>79.286921014737132</v>
      </c>
    </row>
    <row r="213" spans="1:14" ht="62.45" hidden="1" customHeight="1">
      <c r="A213" s="19" t="s">
        <v>404</v>
      </c>
      <c r="B213" s="8" t="s">
        <v>364</v>
      </c>
      <c r="C213" s="20" t="s">
        <v>315</v>
      </c>
      <c r="D213" s="10">
        <v>53747400</v>
      </c>
      <c r="E213" s="10">
        <v>5078280.8600000003</v>
      </c>
      <c r="F213" s="10">
        <f t="shared" ref="F213:F223" si="93">E213-D213</f>
        <v>-48669119.140000001</v>
      </c>
      <c r="G213" s="89">
        <f t="shared" si="89"/>
        <v>9.4484214306180405</v>
      </c>
    </row>
    <row r="214" spans="1:14" ht="60.6" hidden="1" customHeight="1">
      <c r="A214" s="19" t="s">
        <v>246</v>
      </c>
      <c r="B214" s="8" t="s">
        <v>149</v>
      </c>
      <c r="C214" s="20" t="s">
        <v>315</v>
      </c>
      <c r="D214" s="10">
        <v>68247600</v>
      </c>
      <c r="E214" s="10">
        <v>65516093</v>
      </c>
      <c r="F214" s="10">
        <f t="shared" si="93"/>
        <v>-2731507</v>
      </c>
      <c r="G214" s="89">
        <f t="shared" si="89"/>
        <v>95.997651199456101</v>
      </c>
      <c r="M214" s="88"/>
    </row>
    <row r="215" spans="1:14" ht="133.15" hidden="1" customHeight="1">
      <c r="A215" s="19" t="s">
        <v>374</v>
      </c>
      <c r="B215" s="8" t="s">
        <v>149</v>
      </c>
      <c r="C215" s="20" t="s">
        <v>315</v>
      </c>
      <c r="D215" s="10">
        <v>1353079</v>
      </c>
      <c r="E215" s="10">
        <v>1353079</v>
      </c>
      <c r="F215" s="10">
        <f t="shared" si="93"/>
        <v>0</v>
      </c>
      <c r="G215" s="89">
        <f t="shared" si="89"/>
        <v>100</v>
      </c>
    </row>
    <row r="216" spans="1:14" ht="136.15" hidden="1" customHeight="1">
      <c r="A216" s="55" t="s">
        <v>373</v>
      </c>
      <c r="B216" s="8" t="s">
        <v>149</v>
      </c>
      <c r="C216" s="20" t="s">
        <v>315</v>
      </c>
      <c r="D216" s="10">
        <v>2246244</v>
      </c>
      <c r="E216" s="10">
        <v>2246244</v>
      </c>
      <c r="F216" s="10">
        <f t="shared" si="93"/>
        <v>0</v>
      </c>
      <c r="G216" s="89">
        <f t="shared" si="89"/>
        <v>100</v>
      </c>
    </row>
    <row r="217" spans="1:14" ht="104.45" hidden="1" customHeight="1">
      <c r="A217" s="76" t="s">
        <v>414</v>
      </c>
      <c r="B217" s="8" t="s">
        <v>149</v>
      </c>
      <c r="C217" s="20" t="s">
        <v>315</v>
      </c>
      <c r="D217" s="10">
        <v>5547300</v>
      </c>
      <c r="E217" s="10">
        <v>5547300</v>
      </c>
      <c r="F217" s="10">
        <f t="shared" si="93"/>
        <v>0</v>
      </c>
      <c r="G217" s="89">
        <f t="shared" si="89"/>
        <v>100</v>
      </c>
    </row>
    <row r="218" spans="1:14" ht="109.9" hidden="1" customHeight="1">
      <c r="A218" s="76" t="s">
        <v>422</v>
      </c>
      <c r="B218" s="8" t="s">
        <v>149</v>
      </c>
      <c r="C218" s="20" t="s">
        <v>315</v>
      </c>
      <c r="D218" s="10">
        <v>3481100</v>
      </c>
      <c r="E218" s="10">
        <v>2795686.9</v>
      </c>
      <c r="F218" s="10">
        <f t="shared" si="93"/>
        <v>-685413.10000000009</v>
      </c>
      <c r="G218" s="89">
        <f t="shared" si="89"/>
        <v>80.310444974289723</v>
      </c>
    </row>
    <row r="219" spans="1:14" ht="62.45" hidden="1" customHeight="1">
      <c r="A219" s="19" t="s">
        <v>398</v>
      </c>
      <c r="B219" s="8" t="s">
        <v>150</v>
      </c>
      <c r="C219" s="20" t="s">
        <v>315</v>
      </c>
      <c r="D219" s="10">
        <v>21825000</v>
      </c>
      <c r="E219" s="10">
        <v>21825000</v>
      </c>
      <c r="F219" s="10">
        <f t="shared" si="93"/>
        <v>0</v>
      </c>
      <c r="G219" s="89">
        <f t="shared" si="89"/>
        <v>100</v>
      </c>
    </row>
    <row r="220" spans="1:14" ht="148.9" hidden="1" customHeight="1">
      <c r="A220" s="78" t="s">
        <v>399</v>
      </c>
      <c r="B220" s="8" t="s">
        <v>150</v>
      </c>
      <c r="C220" s="20" t="s">
        <v>315</v>
      </c>
      <c r="D220" s="10">
        <f>53720300+21592300</f>
        <v>75312600</v>
      </c>
      <c r="E220" s="10">
        <v>75312600</v>
      </c>
      <c r="F220" s="10">
        <f t="shared" si="93"/>
        <v>0</v>
      </c>
      <c r="G220" s="89">
        <f t="shared" si="89"/>
        <v>100</v>
      </c>
    </row>
    <row r="221" spans="1:14" ht="104.45" hidden="1" customHeight="1">
      <c r="A221" s="78" t="s">
        <v>403</v>
      </c>
      <c r="B221" s="8" t="s">
        <v>366</v>
      </c>
      <c r="C221" s="20" t="s">
        <v>315</v>
      </c>
      <c r="D221" s="10">
        <v>382219</v>
      </c>
      <c r="E221" s="10">
        <v>382219</v>
      </c>
      <c r="F221" s="10">
        <f t="shared" si="93"/>
        <v>0</v>
      </c>
      <c r="G221" s="89">
        <f t="shared" si="89"/>
        <v>100</v>
      </c>
    </row>
    <row r="222" spans="1:14" ht="49.15" hidden="1" customHeight="1">
      <c r="A222" s="19" t="s">
        <v>375</v>
      </c>
      <c r="B222" s="8" t="s">
        <v>151</v>
      </c>
      <c r="C222" s="20" t="s">
        <v>315</v>
      </c>
      <c r="D222" s="10">
        <v>15000000</v>
      </c>
      <c r="E222" s="10">
        <v>14999999.99</v>
      </c>
      <c r="F222" s="10">
        <f t="shared" si="93"/>
        <v>-9.9999997764825821E-3</v>
      </c>
      <c r="G222" s="89">
        <f t="shared" si="89"/>
        <v>99.999999933333342</v>
      </c>
    </row>
    <row r="223" spans="1:14" ht="73.900000000000006" customHeight="1">
      <c r="A223" s="19" t="s">
        <v>421</v>
      </c>
      <c r="B223" s="8" t="s">
        <v>83</v>
      </c>
      <c r="C223" s="20" t="s">
        <v>315</v>
      </c>
      <c r="D223" s="24">
        <v>4541870.96</v>
      </c>
      <c r="E223" s="10">
        <v>4496318.96</v>
      </c>
      <c r="F223" s="10">
        <f t="shared" si="93"/>
        <v>-45552</v>
      </c>
      <c r="G223" s="89">
        <f t="shared" si="89"/>
        <v>98.99706529751343</v>
      </c>
    </row>
    <row r="224" spans="1:14" ht="35.450000000000003" hidden="1" customHeight="1">
      <c r="A224" s="52" t="s">
        <v>247</v>
      </c>
      <c r="B224" s="8" t="s">
        <v>6</v>
      </c>
      <c r="C224" s="11" t="s">
        <v>316</v>
      </c>
      <c r="D224" s="10">
        <f>+D225+D227+D241+D239</f>
        <v>1530898200</v>
      </c>
      <c r="E224" s="10">
        <f>+E225+E227+E241+E239</f>
        <v>1530871933.8699999</v>
      </c>
      <c r="F224" s="10">
        <f>+F225+F227+F241+F239</f>
        <v>-26266.130000002682</v>
      </c>
      <c r="G224" s="89">
        <f t="shared" si="89"/>
        <v>99.998284266713483</v>
      </c>
    </row>
    <row r="225" spans="1:14" s="25" customFormat="1" ht="50.45" hidden="1" customHeight="1">
      <c r="A225" s="52" t="s">
        <v>248</v>
      </c>
      <c r="B225" s="8" t="s">
        <v>6</v>
      </c>
      <c r="C225" s="11" t="s">
        <v>317</v>
      </c>
      <c r="D225" s="10">
        <f>+D226</f>
        <v>63058900</v>
      </c>
      <c r="E225" s="10">
        <f>+E226</f>
        <v>63032633.869999997</v>
      </c>
      <c r="F225" s="10">
        <f>+F226</f>
        <v>-26266.130000002682</v>
      </c>
      <c r="G225" s="89">
        <f t="shared" si="89"/>
        <v>99.958346672713915</v>
      </c>
      <c r="H225" s="87"/>
      <c r="I225" s="43"/>
      <c r="J225" s="87"/>
      <c r="K225" s="87"/>
      <c r="L225" s="87"/>
      <c r="M225" s="87"/>
      <c r="N225" s="87"/>
    </row>
    <row r="226" spans="1:14" s="25" customFormat="1" ht="47.45" customHeight="1">
      <c r="A226" s="52" t="s">
        <v>249</v>
      </c>
      <c r="B226" s="8" t="s">
        <v>83</v>
      </c>
      <c r="C226" s="11" t="s">
        <v>318</v>
      </c>
      <c r="D226" s="26">
        <f>59911000+2900000+247900</f>
        <v>63058900</v>
      </c>
      <c r="E226" s="26">
        <v>63032633.869999997</v>
      </c>
      <c r="F226" s="10">
        <f t="shared" ref="F226" si="94">E226-D226</f>
        <v>-26266.130000002682</v>
      </c>
      <c r="G226" s="89">
        <f t="shared" si="89"/>
        <v>99.958346672713915</v>
      </c>
      <c r="H226" s="87"/>
      <c r="I226" s="43"/>
      <c r="J226" s="87"/>
      <c r="K226" s="87"/>
      <c r="L226" s="87"/>
      <c r="M226" s="87"/>
      <c r="N226" s="87"/>
    </row>
    <row r="227" spans="1:14" ht="28.15" hidden="1" customHeight="1">
      <c r="A227" s="52" t="s">
        <v>250</v>
      </c>
      <c r="B227" s="8" t="s">
        <v>6</v>
      </c>
      <c r="C227" s="8" t="s">
        <v>319</v>
      </c>
      <c r="D227" s="10">
        <f>+D228</f>
        <v>27354100</v>
      </c>
      <c r="E227" s="10">
        <f>+E228</f>
        <v>27354100</v>
      </c>
      <c r="F227" s="10">
        <f>+F228</f>
        <v>0</v>
      </c>
      <c r="G227" s="89">
        <f t="shared" si="89"/>
        <v>100</v>
      </c>
    </row>
    <row r="228" spans="1:14" s="25" customFormat="1" ht="34.15" hidden="1" customHeight="1">
      <c r="A228" s="52" t="s">
        <v>251</v>
      </c>
      <c r="B228" s="8" t="s">
        <v>6</v>
      </c>
      <c r="C228" s="8" t="s">
        <v>320</v>
      </c>
      <c r="D228" s="10">
        <f>SUM(D229:D238)</f>
        <v>27354100</v>
      </c>
      <c r="E228" s="10">
        <f>SUM(E229:E238)</f>
        <v>27354100</v>
      </c>
      <c r="F228" s="10">
        <f>SUM(F229:F238)</f>
        <v>0</v>
      </c>
      <c r="G228" s="89">
        <f t="shared" si="89"/>
        <v>100</v>
      </c>
      <c r="H228" s="87"/>
      <c r="I228" s="43"/>
      <c r="J228" s="87"/>
      <c r="K228" s="87"/>
      <c r="L228" s="87"/>
      <c r="M228" s="87"/>
      <c r="N228" s="87"/>
    </row>
    <row r="229" spans="1:14" ht="45" hidden="1" customHeight="1">
      <c r="A229" s="52" t="s">
        <v>252</v>
      </c>
      <c r="B229" s="8" t="s">
        <v>149</v>
      </c>
      <c r="C229" s="8" t="s">
        <v>320</v>
      </c>
      <c r="D229" s="26">
        <f>18296000-418100</f>
        <v>17877900</v>
      </c>
      <c r="E229" s="26">
        <v>17877900</v>
      </c>
      <c r="F229" s="10">
        <f t="shared" ref="F229:F240" si="95">E229-D229</f>
        <v>0</v>
      </c>
      <c r="G229" s="89">
        <f t="shared" si="89"/>
        <v>100</v>
      </c>
    </row>
    <row r="230" spans="1:14" s="25" customFormat="1" ht="46.9" hidden="1" customHeight="1">
      <c r="A230" s="52" t="s">
        <v>253</v>
      </c>
      <c r="B230" s="8" t="s">
        <v>150</v>
      </c>
      <c r="C230" s="8" t="s">
        <v>320</v>
      </c>
      <c r="D230" s="10">
        <f>45500+2300</f>
        <v>47800</v>
      </c>
      <c r="E230" s="10">
        <v>47800</v>
      </c>
      <c r="F230" s="10">
        <f t="shared" si="95"/>
        <v>0</v>
      </c>
      <c r="G230" s="89">
        <f t="shared" si="89"/>
        <v>100</v>
      </c>
      <c r="H230" s="87"/>
      <c r="I230" s="43"/>
      <c r="J230" s="87"/>
      <c r="K230" s="87"/>
      <c r="L230" s="87"/>
      <c r="M230" s="87"/>
      <c r="N230" s="87"/>
    </row>
    <row r="231" spans="1:14" s="25" customFormat="1" ht="36" hidden="1" customHeight="1">
      <c r="A231" s="52" t="s">
        <v>254</v>
      </c>
      <c r="B231" s="8" t="s">
        <v>150</v>
      </c>
      <c r="C231" s="8" t="s">
        <v>320</v>
      </c>
      <c r="D231" s="26">
        <f>90900+4600</f>
        <v>95500</v>
      </c>
      <c r="E231" s="26">
        <v>95500</v>
      </c>
      <c r="F231" s="10">
        <f t="shared" si="95"/>
        <v>0</v>
      </c>
      <c r="G231" s="89">
        <f t="shared" si="89"/>
        <v>100</v>
      </c>
      <c r="H231" s="87"/>
      <c r="I231" s="43"/>
      <c r="J231" s="87"/>
      <c r="K231" s="87"/>
      <c r="L231" s="87"/>
      <c r="M231" s="87"/>
      <c r="N231" s="87"/>
    </row>
    <row r="232" spans="1:14" s="25" customFormat="1" ht="64.900000000000006" hidden="1" customHeight="1">
      <c r="A232" s="52" t="s">
        <v>255</v>
      </c>
      <c r="B232" s="8" t="s">
        <v>151</v>
      </c>
      <c r="C232" s="8" t="s">
        <v>320</v>
      </c>
      <c r="D232" s="26">
        <f>3238800+5400+118000</f>
        <v>3362200</v>
      </c>
      <c r="E232" s="26">
        <v>3362200</v>
      </c>
      <c r="F232" s="10">
        <f t="shared" si="95"/>
        <v>0</v>
      </c>
      <c r="G232" s="89">
        <f t="shared" si="89"/>
        <v>100</v>
      </c>
      <c r="H232" s="87"/>
      <c r="I232" s="43"/>
      <c r="J232" s="87"/>
      <c r="K232" s="87"/>
      <c r="L232" s="87"/>
      <c r="M232" s="87"/>
      <c r="N232" s="87"/>
    </row>
    <row r="233" spans="1:14" s="25" customFormat="1" ht="36.6" hidden="1" customHeight="1">
      <c r="A233" s="52" t="s">
        <v>256</v>
      </c>
      <c r="B233" s="8" t="s">
        <v>151</v>
      </c>
      <c r="C233" s="8" t="s">
        <v>320</v>
      </c>
      <c r="D233" s="26">
        <f>851200+43000</f>
        <v>894200</v>
      </c>
      <c r="E233" s="26">
        <v>894200</v>
      </c>
      <c r="F233" s="10">
        <f t="shared" si="95"/>
        <v>0</v>
      </c>
      <c r="G233" s="89">
        <f t="shared" si="89"/>
        <v>100</v>
      </c>
      <c r="H233" s="87"/>
      <c r="I233" s="43"/>
      <c r="J233" s="87"/>
      <c r="K233" s="87"/>
      <c r="L233" s="87"/>
      <c r="M233" s="87"/>
      <c r="N233" s="87"/>
    </row>
    <row r="234" spans="1:14" ht="64.900000000000006" hidden="1" customHeight="1">
      <c r="A234" s="52" t="s">
        <v>257</v>
      </c>
      <c r="B234" s="8" t="s">
        <v>151</v>
      </c>
      <c r="C234" s="8" t="s">
        <v>320</v>
      </c>
      <c r="D234" s="26">
        <f>2572400+129900</f>
        <v>2702300</v>
      </c>
      <c r="E234" s="26">
        <v>2702300</v>
      </c>
      <c r="F234" s="10">
        <f t="shared" si="95"/>
        <v>0</v>
      </c>
      <c r="G234" s="89">
        <f t="shared" si="89"/>
        <v>100</v>
      </c>
    </row>
    <row r="235" spans="1:14" s="25" customFormat="1" ht="87.6" hidden="1" customHeight="1">
      <c r="A235" s="52" t="s">
        <v>258</v>
      </c>
      <c r="B235" s="8" t="s">
        <v>151</v>
      </c>
      <c r="C235" s="8" t="s">
        <v>320</v>
      </c>
      <c r="D235" s="46">
        <v>700</v>
      </c>
      <c r="E235" s="46">
        <v>700</v>
      </c>
      <c r="F235" s="10">
        <f t="shared" si="95"/>
        <v>0</v>
      </c>
      <c r="G235" s="89">
        <f t="shared" si="89"/>
        <v>100</v>
      </c>
      <c r="H235" s="87"/>
      <c r="I235" s="43"/>
      <c r="J235" s="87"/>
      <c r="K235" s="87"/>
      <c r="L235" s="87"/>
      <c r="M235" s="87"/>
      <c r="N235" s="87"/>
    </row>
    <row r="236" spans="1:14" ht="41.45" hidden="1" customHeight="1">
      <c r="A236" s="52" t="s">
        <v>259</v>
      </c>
      <c r="B236" s="8" t="s">
        <v>151</v>
      </c>
      <c r="C236" s="8" t="s">
        <v>320</v>
      </c>
      <c r="D236" s="26">
        <f>1702400+86000</f>
        <v>1788400</v>
      </c>
      <c r="E236" s="26">
        <v>1788400</v>
      </c>
      <c r="F236" s="10">
        <f t="shared" si="95"/>
        <v>0</v>
      </c>
      <c r="G236" s="89">
        <f t="shared" si="89"/>
        <v>100</v>
      </c>
    </row>
    <row r="237" spans="1:14" ht="31.9" hidden="1" customHeight="1">
      <c r="A237" s="52" t="s">
        <v>260</v>
      </c>
      <c r="B237" s="8" t="s">
        <v>151</v>
      </c>
      <c r="C237" s="8" t="s">
        <v>320</v>
      </c>
      <c r="D237" s="26">
        <f>4900+200</f>
        <v>5100</v>
      </c>
      <c r="E237" s="26">
        <v>5100</v>
      </c>
      <c r="F237" s="10">
        <f t="shared" si="95"/>
        <v>0</v>
      </c>
      <c r="G237" s="89">
        <f t="shared" si="89"/>
        <v>100</v>
      </c>
    </row>
    <row r="238" spans="1:14" ht="60" customHeight="1">
      <c r="A238" s="52" t="s">
        <v>340</v>
      </c>
      <c r="B238" s="8" t="s">
        <v>83</v>
      </c>
      <c r="C238" s="8" t="s">
        <v>320</v>
      </c>
      <c r="D238" s="26">
        <v>580000</v>
      </c>
      <c r="E238" s="26">
        <v>580000</v>
      </c>
      <c r="F238" s="10">
        <f t="shared" si="95"/>
        <v>0</v>
      </c>
      <c r="G238" s="89">
        <f t="shared" si="89"/>
        <v>100</v>
      </c>
    </row>
    <row r="239" spans="1:14" ht="58.15" hidden="1" customHeight="1">
      <c r="A239" s="52" t="s">
        <v>261</v>
      </c>
      <c r="B239" s="8" t="s">
        <v>6</v>
      </c>
      <c r="C239" s="27" t="s">
        <v>321</v>
      </c>
      <c r="D239" s="26">
        <f>+D240</f>
        <v>10500</v>
      </c>
      <c r="E239" s="26">
        <f>+E240</f>
        <v>10500</v>
      </c>
      <c r="F239" s="26">
        <f>+F240</f>
        <v>0</v>
      </c>
      <c r="G239" s="89">
        <f t="shared" si="89"/>
        <v>100</v>
      </c>
    </row>
    <row r="240" spans="1:14" ht="59.45" hidden="1" customHeight="1">
      <c r="A240" s="52" t="s">
        <v>262</v>
      </c>
      <c r="B240" s="8" t="s">
        <v>151</v>
      </c>
      <c r="C240" s="27" t="s">
        <v>322</v>
      </c>
      <c r="D240" s="26">
        <v>10500</v>
      </c>
      <c r="E240" s="26">
        <v>10500</v>
      </c>
      <c r="F240" s="10">
        <f t="shared" si="95"/>
        <v>0</v>
      </c>
      <c r="G240" s="89">
        <f t="shared" si="89"/>
        <v>100</v>
      </c>
    </row>
    <row r="241" spans="1:7" ht="20.45" hidden="1" customHeight="1">
      <c r="A241" s="52" t="s">
        <v>263</v>
      </c>
      <c r="B241" s="8" t="s">
        <v>6</v>
      </c>
      <c r="C241" s="11" t="s">
        <v>323</v>
      </c>
      <c r="D241" s="10">
        <f>+D242</f>
        <v>1440474700</v>
      </c>
      <c r="E241" s="10">
        <f>+E242</f>
        <v>1440474700</v>
      </c>
      <c r="F241" s="10">
        <f>+F242</f>
        <v>0</v>
      </c>
      <c r="G241" s="89">
        <f t="shared" si="89"/>
        <v>100</v>
      </c>
    </row>
    <row r="242" spans="1:7" ht="21" hidden="1" customHeight="1">
      <c r="A242" s="52" t="s">
        <v>264</v>
      </c>
      <c r="B242" s="8" t="s">
        <v>6</v>
      </c>
      <c r="C242" s="11" t="s">
        <v>324</v>
      </c>
      <c r="D242" s="10">
        <f>+D243+D244</f>
        <v>1440474700</v>
      </c>
      <c r="E242" s="10">
        <f>+E243+E244</f>
        <v>1440474700</v>
      </c>
      <c r="F242" s="10">
        <f>+F243+F244</f>
        <v>0</v>
      </c>
      <c r="G242" s="89">
        <f t="shared" si="89"/>
        <v>100</v>
      </c>
    </row>
    <row r="243" spans="1:7" ht="88.9" hidden="1" customHeight="1">
      <c r="A243" s="52" t="s">
        <v>265</v>
      </c>
      <c r="B243" s="8" t="s">
        <v>149</v>
      </c>
      <c r="C243" s="11" t="s">
        <v>362</v>
      </c>
      <c r="D243" s="24">
        <f>656480900+19920000</f>
        <v>676400900</v>
      </c>
      <c r="E243" s="24">
        <v>676400900</v>
      </c>
      <c r="F243" s="10">
        <f t="shared" ref="F243:F244" si="96">E243-D243</f>
        <v>0</v>
      </c>
      <c r="G243" s="89">
        <f t="shared" si="89"/>
        <v>100</v>
      </c>
    </row>
    <row r="244" spans="1:7" ht="64.900000000000006" hidden="1" customHeight="1">
      <c r="A244" s="52" t="s">
        <v>266</v>
      </c>
      <c r="B244" s="8" t="s">
        <v>149</v>
      </c>
      <c r="C244" s="11" t="s">
        <v>324</v>
      </c>
      <c r="D244" s="24">
        <f>712603800+48336000+3134000</f>
        <v>764073800</v>
      </c>
      <c r="E244" s="24">
        <v>764073800</v>
      </c>
      <c r="F244" s="10">
        <f t="shared" si="96"/>
        <v>0</v>
      </c>
      <c r="G244" s="89">
        <f t="shared" si="89"/>
        <v>100</v>
      </c>
    </row>
    <row r="245" spans="1:7" ht="16.899999999999999" hidden="1" customHeight="1">
      <c r="A245" s="19" t="s">
        <v>267</v>
      </c>
      <c r="B245" s="8" t="s">
        <v>6</v>
      </c>
      <c r="C245" s="15" t="s">
        <v>337</v>
      </c>
      <c r="D245" s="28">
        <f>+D246</f>
        <v>9745410</v>
      </c>
      <c r="E245" s="28">
        <f t="shared" ref="E245:F245" si="97">+E246</f>
        <v>9766237.1999999993</v>
      </c>
      <c r="F245" s="28">
        <f t="shared" si="97"/>
        <v>20827.199999999255</v>
      </c>
      <c r="G245" s="89">
        <f t="shared" si="89"/>
        <v>100.21371291715792</v>
      </c>
    </row>
    <row r="246" spans="1:7" ht="19.149999999999999" hidden="1" customHeight="1">
      <c r="A246" s="19" t="s">
        <v>339</v>
      </c>
      <c r="B246" s="8" t="s">
        <v>6</v>
      </c>
      <c r="C246" s="15" t="s">
        <v>338</v>
      </c>
      <c r="D246" s="28">
        <f>+D247</f>
        <v>9745410</v>
      </c>
      <c r="E246" s="28">
        <f t="shared" ref="E246:F246" si="98">+E247</f>
        <v>9766237.1999999993</v>
      </c>
      <c r="F246" s="28">
        <f t="shared" si="98"/>
        <v>20827.199999999255</v>
      </c>
      <c r="G246" s="89">
        <f t="shared" si="89"/>
        <v>100.21371291715792</v>
      </c>
    </row>
    <row r="247" spans="1:7" ht="32.450000000000003" hidden="1" customHeight="1">
      <c r="A247" s="19" t="s">
        <v>268</v>
      </c>
      <c r="B247" s="8" t="s">
        <v>151</v>
      </c>
      <c r="C247" s="20" t="s">
        <v>325</v>
      </c>
      <c r="D247" s="28">
        <v>9745410</v>
      </c>
      <c r="E247" s="24">
        <v>9766237.1999999993</v>
      </c>
      <c r="F247" s="10">
        <f t="shared" ref="F247" si="99">E247-D247</f>
        <v>20827.199999999255</v>
      </c>
      <c r="G247" s="89">
        <f t="shared" si="89"/>
        <v>100.21371291715792</v>
      </c>
    </row>
    <row r="248" spans="1:7" ht="74.45" hidden="1" customHeight="1">
      <c r="A248" s="19" t="s">
        <v>378</v>
      </c>
      <c r="B248" s="8" t="s">
        <v>6</v>
      </c>
      <c r="C248" s="23" t="s">
        <v>379</v>
      </c>
      <c r="D248" s="28">
        <f>+D249</f>
        <v>795816.92</v>
      </c>
      <c r="E248" s="28">
        <f t="shared" ref="E248:F248" si="100">+E249</f>
        <v>795576.84000000008</v>
      </c>
      <c r="F248" s="28">
        <f t="shared" si="100"/>
        <v>-240.07999999995809</v>
      </c>
      <c r="G248" s="89">
        <f t="shared" si="89"/>
        <v>99.969832257399105</v>
      </c>
    </row>
    <row r="249" spans="1:7" ht="86.45" hidden="1" customHeight="1">
      <c r="A249" s="19" t="s">
        <v>380</v>
      </c>
      <c r="B249" s="8" t="s">
        <v>6</v>
      </c>
      <c r="C249" s="23" t="s">
        <v>381</v>
      </c>
      <c r="D249" s="28">
        <f>+D250</f>
        <v>795816.92</v>
      </c>
      <c r="E249" s="28">
        <f>+E251</f>
        <v>795576.84000000008</v>
      </c>
      <c r="F249" s="28">
        <f>+F251</f>
        <v>-240.07999999995809</v>
      </c>
      <c r="G249" s="89">
        <f t="shared" si="89"/>
        <v>99.969832257399105</v>
      </c>
    </row>
    <row r="250" spans="1:7" ht="76.150000000000006" hidden="1" customHeight="1">
      <c r="A250" s="19" t="s">
        <v>382</v>
      </c>
      <c r="B250" s="8" t="s">
        <v>6</v>
      </c>
      <c r="C250" s="23" t="s">
        <v>383</v>
      </c>
      <c r="D250" s="28">
        <f>+D251</f>
        <v>795816.92</v>
      </c>
      <c r="E250" s="28">
        <f>+E251</f>
        <v>795576.84000000008</v>
      </c>
      <c r="F250" s="10">
        <f t="shared" ref="F250" si="101">E250-D250</f>
        <v>-240.07999999995809</v>
      </c>
      <c r="G250" s="89">
        <f t="shared" si="89"/>
        <v>99.969832257399105</v>
      </c>
    </row>
    <row r="251" spans="1:7" ht="30" hidden="1" customHeight="1">
      <c r="A251" s="19" t="s">
        <v>384</v>
      </c>
      <c r="B251" s="8" t="s">
        <v>6</v>
      </c>
      <c r="C251" s="67" t="s">
        <v>385</v>
      </c>
      <c r="D251" s="28">
        <f>+D252+D253</f>
        <v>795816.92</v>
      </c>
      <c r="E251" s="28">
        <f t="shared" ref="E251:F251" si="102">+E252+E253</f>
        <v>795576.84000000008</v>
      </c>
      <c r="F251" s="28">
        <f t="shared" si="102"/>
        <v>-240.07999999995809</v>
      </c>
      <c r="G251" s="89">
        <f t="shared" si="89"/>
        <v>99.969832257399105</v>
      </c>
    </row>
    <row r="252" spans="1:7" ht="35.450000000000003" hidden="1" customHeight="1">
      <c r="A252" s="19" t="s">
        <v>386</v>
      </c>
      <c r="B252" s="8" t="s">
        <v>151</v>
      </c>
      <c r="C252" s="23" t="s">
        <v>387</v>
      </c>
      <c r="D252" s="10">
        <f>372174.25+205000+200000</f>
        <v>777174.25</v>
      </c>
      <c r="E252" s="10">
        <v>776934.17</v>
      </c>
      <c r="F252" s="10">
        <f t="shared" ref="F252:F257" si="103">E252-D252</f>
        <v>-240.07999999995809</v>
      </c>
      <c r="G252" s="89">
        <f t="shared" si="89"/>
        <v>99.969108600806067</v>
      </c>
    </row>
    <row r="253" spans="1:7" ht="34.15" customHeight="1">
      <c r="A253" s="19" t="s">
        <v>386</v>
      </c>
      <c r="B253" s="8" t="s">
        <v>83</v>
      </c>
      <c r="C253" s="23" t="s">
        <v>387</v>
      </c>
      <c r="D253" s="10">
        <f>15962.56+2680.11</f>
        <v>18642.669999999998</v>
      </c>
      <c r="E253" s="10">
        <v>18642.669999999998</v>
      </c>
      <c r="F253" s="10">
        <f t="shared" si="103"/>
        <v>0</v>
      </c>
      <c r="G253" s="89">
        <f t="shared" si="89"/>
        <v>100</v>
      </c>
    </row>
    <row r="254" spans="1:7" ht="33.6" hidden="1" customHeight="1">
      <c r="A254" s="19" t="s">
        <v>357</v>
      </c>
      <c r="B254" s="8" t="s">
        <v>6</v>
      </c>
      <c r="C254" s="23" t="s">
        <v>358</v>
      </c>
      <c r="D254" s="28">
        <f>+D255+D256+D257</f>
        <v>-7360533.9800000004</v>
      </c>
      <c r="E254" s="28">
        <f>+E255+E256+E257</f>
        <v>-7331248.8999999994</v>
      </c>
      <c r="F254" s="28">
        <f>+F255+F256+F257</f>
        <v>29285.080000000424</v>
      </c>
      <c r="G254" s="89">
        <f t="shared" si="89"/>
        <v>99.602133757148948</v>
      </c>
    </row>
    <row r="255" spans="1:7" ht="46.15" hidden="1" customHeight="1">
      <c r="A255" s="68" t="s">
        <v>360</v>
      </c>
      <c r="B255" s="8" t="s">
        <v>151</v>
      </c>
      <c r="C255" s="69" t="s">
        <v>466</v>
      </c>
      <c r="D255" s="10">
        <f>-224096.11-188136.81-205000-200000</f>
        <v>-817232.91999999993</v>
      </c>
      <c r="E255" s="24">
        <v>-788447.11</v>
      </c>
      <c r="F255" s="10">
        <f t="shared" si="103"/>
        <v>28785.809999999939</v>
      </c>
      <c r="G255" s="89">
        <f t="shared" si="89"/>
        <v>96.477649236156566</v>
      </c>
    </row>
    <row r="256" spans="1:7" ht="45.6" hidden="1" customHeight="1">
      <c r="A256" s="68" t="s">
        <v>359</v>
      </c>
      <c r="B256" s="8" t="s">
        <v>151</v>
      </c>
      <c r="C256" s="69" t="s">
        <v>361</v>
      </c>
      <c r="D256" s="10">
        <v>-22654.03</v>
      </c>
      <c r="E256" s="24">
        <v>-22654.03</v>
      </c>
      <c r="F256" s="10">
        <f t="shared" si="103"/>
        <v>0</v>
      </c>
      <c r="G256" s="89">
        <f t="shared" si="89"/>
        <v>100</v>
      </c>
    </row>
    <row r="257" spans="1:13" ht="40.15" customHeight="1">
      <c r="A257" s="68" t="s">
        <v>359</v>
      </c>
      <c r="B257" s="8" t="s">
        <v>83</v>
      </c>
      <c r="C257" s="69" t="s">
        <v>361</v>
      </c>
      <c r="D257" s="10">
        <f>-6517966.92-2680.11</f>
        <v>-6520647.0300000003</v>
      </c>
      <c r="E257" s="24">
        <v>-6520147.7599999998</v>
      </c>
      <c r="F257" s="10">
        <f t="shared" si="103"/>
        <v>499.27000000048429</v>
      </c>
      <c r="G257" s="89">
        <f t="shared" si="89"/>
        <v>99.992343244501598</v>
      </c>
    </row>
    <row r="258" spans="1:13" s="29" customFormat="1" ht="18.600000000000001" hidden="1" customHeight="1">
      <c r="A258" s="52" t="s">
        <v>269</v>
      </c>
      <c r="B258" s="8"/>
      <c r="C258" s="11"/>
      <c r="D258" s="10">
        <f>+D10+D190</f>
        <v>2905221895.9200001</v>
      </c>
      <c r="E258" s="10">
        <f>+E10+E190</f>
        <v>2840643752.4899998</v>
      </c>
      <c r="F258" s="10">
        <f>+F10+F190</f>
        <v>-64578143.43000003</v>
      </c>
      <c r="G258" s="89">
        <f t="shared" si="89"/>
        <v>97.777170015113413</v>
      </c>
      <c r="I258" s="70"/>
    </row>
    <row r="259" spans="1:13" s="30" customFormat="1" ht="33.6" hidden="1" customHeight="1">
      <c r="A259" s="52" t="s">
        <v>270</v>
      </c>
      <c r="B259" s="8"/>
      <c r="C259" s="11"/>
      <c r="D259" s="10">
        <f>+D260+D271+D265</f>
        <v>24070933.530000083</v>
      </c>
      <c r="E259" s="10">
        <f>+E260+E271+E265</f>
        <v>-18457387.759999923</v>
      </c>
      <c r="F259" s="10">
        <v>0</v>
      </c>
      <c r="G259" s="89">
        <f t="shared" si="89"/>
        <v>-76.67915221067814</v>
      </c>
      <c r="I259" s="60"/>
      <c r="J259" s="60"/>
      <c r="K259" s="60"/>
      <c r="L259" s="60"/>
      <c r="M259" s="60"/>
    </row>
    <row r="260" spans="1:13" ht="31.15" hidden="1" customHeight="1">
      <c r="A260" s="52" t="s">
        <v>271</v>
      </c>
      <c r="B260" s="8" t="s">
        <v>6</v>
      </c>
      <c r="C260" s="11" t="s">
        <v>272</v>
      </c>
      <c r="D260" s="10">
        <f>+D261+D263</f>
        <v>3390214.2900000066</v>
      </c>
      <c r="E260" s="10">
        <f>+E261+E263</f>
        <v>-29107000</v>
      </c>
      <c r="F260" s="10">
        <f>+F261+F263</f>
        <v>-32497214.290000007</v>
      </c>
      <c r="G260" s="89">
        <f t="shared" si="89"/>
        <v>-858.55929773689752</v>
      </c>
      <c r="H260" s="75"/>
      <c r="I260" s="75"/>
    </row>
    <row r="261" spans="1:13" s="31" customFormat="1" ht="25.5" hidden="1">
      <c r="A261" s="52" t="s">
        <v>273</v>
      </c>
      <c r="B261" s="8" t="s">
        <v>6</v>
      </c>
      <c r="C261" s="11" t="s">
        <v>274</v>
      </c>
      <c r="D261" s="10">
        <f>+D262</f>
        <v>133747214.29000001</v>
      </c>
      <c r="E261" s="10">
        <f>+E262</f>
        <v>101250000</v>
      </c>
      <c r="F261" s="10">
        <f>+F262</f>
        <v>-32497214.290000007</v>
      </c>
      <c r="G261" s="89">
        <f t="shared" si="89"/>
        <v>75.702511291534421</v>
      </c>
      <c r="H261" s="75"/>
      <c r="I261" s="75"/>
    </row>
    <row r="262" spans="1:13" s="30" customFormat="1" ht="28.15" hidden="1" customHeight="1">
      <c r="A262" s="52" t="s">
        <v>275</v>
      </c>
      <c r="B262" s="8" t="s">
        <v>150</v>
      </c>
      <c r="C262" s="11" t="s">
        <v>276</v>
      </c>
      <c r="D262" s="10">
        <v>133747214.29000001</v>
      </c>
      <c r="E262" s="10">
        <v>101250000</v>
      </c>
      <c r="F262" s="10">
        <f t="shared" ref="F262" si="104">E262-D262</f>
        <v>-32497214.290000007</v>
      </c>
      <c r="G262" s="89">
        <f t="shared" si="89"/>
        <v>75.702511291534421</v>
      </c>
      <c r="H262" s="75"/>
      <c r="I262" s="75"/>
      <c r="J262" s="85"/>
      <c r="K262" s="85"/>
      <c r="L262" s="85"/>
    </row>
    <row r="263" spans="1:13" s="30" customFormat="1" ht="28.15" hidden="1" customHeight="1">
      <c r="A263" s="52" t="s">
        <v>277</v>
      </c>
      <c r="B263" s="8" t="s">
        <v>6</v>
      </c>
      <c r="C263" s="11" t="s">
        <v>278</v>
      </c>
      <c r="D263" s="10">
        <f>+D264</f>
        <v>-130357000</v>
      </c>
      <c r="E263" s="10">
        <f>+E264</f>
        <v>-130357000</v>
      </c>
      <c r="F263" s="10">
        <f>+F264</f>
        <v>0</v>
      </c>
      <c r="G263" s="89">
        <f t="shared" si="89"/>
        <v>100</v>
      </c>
      <c r="H263" s="75"/>
      <c r="I263" s="75"/>
      <c r="J263" s="85"/>
      <c r="K263" s="85"/>
    </row>
    <row r="264" spans="1:13" s="30" customFormat="1" ht="29.45" hidden="1" customHeight="1">
      <c r="A264" s="52" t="s">
        <v>279</v>
      </c>
      <c r="B264" s="8" t="s">
        <v>150</v>
      </c>
      <c r="C264" s="11" t="s">
        <v>280</v>
      </c>
      <c r="D264" s="10">
        <v>-130357000</v>
      </c>
      <c r="E264" s="10">
        <v>-130357000</v>
      </c>
      <c r="F264" s="10">
        <f t="shared" ref="F264" si="105">E264-D264</f>
        <v>0</v>
      </c>
      <c r="G264" s="89">
        <f t="shared" si="89"/>
        <v>100</v>
      </c>
      <c r="H264" s="75"/>
      <c r="I264" s="75"/>
      <c r="J264" s="85"/>
      <c r="K264" s="85"/>
      <c r="L264" s="85"/>
    </row>
    <row r="265" spans="1:13" s="30" customFormat="1" ht="29.45" hidden="1" customHeight="1">
      <c r="A265" s="63" t="s">
        <v>281</v>
      </c>
      <c r="B265" s="8" t="s">
        <v>6</v>
      </c>
      <c r="C265" s="64" t="s">
        <v>282</v>
      </c>
      <c r="D265" s="10">
        <f>+D266</f>
        <v>6000771.3200000003</v>
      </c>
      <c r="E265" s="10">
        <f t="shared" ref="D265:F269" si="106">+E266</f>
        <v>6000771.3200000003</v>
      </c>
      <c r="F265" s="10">
        <f t="shared" si="106"/>
        <v>0</v>
      </c>
      <c r="G265" s="89">
        <f t="shared" si="89"/>
        <v>100</v>
      </c>
      <c r="H265" s="75"/>
      <c r="I265" s="75"/>
    </row>
    <row r="266" spans="1:13" s="30" customFormat="1" ht="28.9" hidden="1" customHeight="1">
      <c r="A266" s="63" t="s">
        <v>283</v>
      </c>
      <c r="B266" s="8" t="s">
        <v>6</v>
      </c>
      <c r="C266" s="64" t="s">
        <v>284</v>
      </c>
      <c r="D266" s="10">
        <f>+D269+D267</f>
        <v>6000771.3200000003</v>
      </c>
      <c r="E266" s="10">
        <f t="shared" ref="E266:F266" si="107">+E269+E267</f>
        <v>6000771.3200000003</v>
      </c>
      <c r="F266" s="10">
        <f t="shared" si="107"/>
        <v>0</v>
      </c>
      <c r="G266" s="89">
        <f t="shared" si="89"/>
        <v>100</v>
      </c>
      <c r="H266" s="75"/>
      <c r="I266" s="75"/>
    </row>
    <row r="267" spans="1:13" s="30" customFormat="1" ht="38.450000000000003" hidden="1" customHeight="1">
      <c r="A267" s="63" t="s">
        <v>410</v>
      </c>
      <c r="B267" s="8" t="s">
        <v>6</v>
      </c>
      <c r="C267" s="64" t="s">
        <v>411</v>
      </c>
      <c r="D267" s="10">
        <f>+D268</f>
        <v>39107000</v>
      </c>
      <c r="E267" s="10">
        <f>+E268</f>
        <v>39107000</v>
      </c>
      <c r="F267" s="10">
        <f>+F268</f>
        <v>0</v>
      </c>
      <c r="G267" s="89">
        <f t="shared" si="89"/>
        <v>100</v>
      </c>
      <c r="H267" s="75"/>
      <c r="I267" s="75"/>
    </row>
    <row r="268" spans="1:13" s="30" customFormat="1" ht="40.9" hidden="1" customHeight="1">
      <c r="A268" s="63" t="s">
        <v>412</v>
      </c>
      <c r="B268" s="8" t="s">
        <v>150</v>
      </c>
      <c r="C268" s="64" t="s">
        <v>413</v>
      </c>
      <c r="D268" s="10">
        <v>39107000</v>
      </c>
      <c r="E268" s="10">
        <v>39107000</v>
      </c>
      <c r="F268" s="10">
        <f t="shared" ref="F268" si="108">E268-D268</f>
        <v>0</v>
      </c>
      <c r="G268" s="89">
        <f t="shared" si="89"/>
        <v>100</v>
      </c>
      <c r="H268" s="75"/>
      <c r="I268" s="75"/>
    </row>
    <row r="269" spans="1:13" s="30" customFormat="1" ht="43.15" hidden="1" customHeight="1">
      <c r="A269" s="19" t="s">
        <v>285</v>
      </c>
      <c r="B269" s="65" t="s">
        <v>6</v>
      </c>
      <c r="C269" s="66" t="s">
        <v>286</v>
      </c>
      <c r="D269" s="10">
        <f t="shared" si="106"/>
        <v>-33106228.68</v>
      </c>
      <c r="E269" s="10">
        <f t="shared" si="106"/>
        <v>-33106228.68</v>
      </c>
      <c r="F269" s="10">
        <f t="shared" si="106"/>
        <v>0</v>
      </c>
      <c r="G269" s="89">
        <f t="shared" ref="G269:G279" si="109">E269/D269*100</f>
        <v>100</v>
      </c>
      <c r="H269" s="75"/>
      <c r="I269" s="75"/>
      <c r="J269" s="85"/>
    </row>
    <row r="270" spans="1:13" s="30" customFormat="1" ht="42" hidden="1" customHeight="1">
      <c r="A270" s="19" t="s">
        <v>287</v>
      </c>
      <c r="B270" s="65">
        <v>905</v>
      </c>
      <c r="C270" s="66" t="s">
        <v>288</v>
      </c>
      <c r="D270" s="10">
        <v>-33106228.68</v>
      </c>
      <c r="E270" s="10">
        <v>-33106228.68</v>
      </c>
      <c r="F270" s="10">
        <f t="shared" ref="F270" si="110">E270-D270</f>
        <v>0</v>
      </c>
      <c r="G270" s="89">
        <f t="shared" si="109"/>
        <v>100</v>
      </c>
      <c r="H270" s="75"/>
      <c r="I270" s="75"/>
      <c r="J270" s="85"/>
      <c r="K270" s="85"/>
      <c r="L270" s="85"/>
    </row>
    <row r="271" spans="1:13" s="31" customFormat="1" ht="25.5" hidden="1">
      <c r="A271" s="52" t="s">
        <v>289</v>
      </c>
      <c r="B271" s="8" t="s">
        <v>6</v>
      </c>
      <c r="C271" s="11" t="s">
        <v>290</v>
      </c>
      <c r="D271" s="10">
        <f>D276+D272</f>
        <v>14679947.920000076</v>
      </c>
      <c r="E271" s="10">
        <f>E276+E272</f>
        <v>4648840.9200000763</v>
      </c>
      <c r="F271" s="10">
        <f>F276+F272</f>
        <v>-10031107</v>
      </c>
      <c r="G271" s="89">
        <f t="shared" si="109"/>
        <v>31.66796602640844</v>
      </c>
      <c r="H271" s="75"/>
      <c r="I271" s="75"/>
    </row>
    <row r="272" spans="1:13" s="31" customFormat="1" ht="21" hidden="1" customHeight="1">
      <c r="A272" s="52" t="s">
        <v>291</v>
      </c>
      <c r="B272" s="8" t="s">
        <v>6</v>
      </c>
      <c r="C272" s="11" t="s">
        <v>292</v>
      </c>
      <c r="D272" s="10">
        <f>D273</f>
        <v>-3078076110.21</v>
      </c>
      <c r="E272" s="10">
        <f>E273</f>
        <v>-3061525349.04</v>
      </c>
      <c r="F272" s="10">
        <f>F273</f>
        <v>16550761.170000076</v>
      </c>
      <c r="G272" s="89">
        <f t="shared" si="109"/>
        <v>99.462301756766152</v>
      </c>
      <c r="H272" s="75"/>
      <c r="I272" s="75"/>
    </row>
    <row r="273" spans="1:12" s="31" customFormat="1" ht="21.75" hidden="1" customHeight="1">
      <c r="A273" s="52" t="s">
        <v>293</v>
      </c>
      <c r="B273" s="8" t="s">
        <v>6</v>
      </c>
      <c r="C273" s="11" t="s">
        <v>294</v>
      </c>
      <c r="D273" s="10">
        <f>+D274</f>
        <v>-3078076110.21</v>
      </c>
      <c r="E273" s="10">
        <f>+E274</f>
        <v>-3061525349.04</v>
      </c>
      <c r="F273" s="10">
        <f>+F274</f>
        <v>16550761.170000076</v>
      </c>
      <c r="G273" s="89">
        <f t="shared" si="109"/>
        <v>99.462301756766152</v>
      </c>
      <c r="H273" s="75"/>
      <c r="I273" s="75"/>
    </row>
    <row r="274" spans="1:12" s="30" customFormat="1" ht="21" hidden="1" customHeight="1">
      <c r="A274" s="52" t="s">
        <v>295</v>
      </c>
      <c r="B274" s="8" t="s">
        <v>6</v>
      </c>
      <c r="C274" s="11" t="s">
        <v>296</v>
      </c>
      <c r="D274" s="10">
        <f>D275</f>
        <v>-3078076110.21</v>
      </c>
      <c r="E274" s="10">
        <f>E275</f>
        <v>-3061525349.04</v>
      </c>
      <c r="F274" s="10">
        <f>F275</f>
        <v>16550761.170000076</v>
      </c>
      <c r="G274" s="89">
        <f>E274/D274*100</f>
        <v>99.462301756766152</v>
      </c>
      <c r="H274" s="75"/>
      <c r="I274" s="75"/>
    </row>
    <row r="275" spans="1:12" s="31" customFormat="1" ht="30" hidden="1" customHeight="1">
      <c r="A275" s="52" t="s">
        <v>297</v>
      </c>
      <c r="B275" s="8" t="s">
        <v>6</v>
      </c>
      <c r="C275" s="11" t="s">
        <v>298</v>
      </c>
      <c r="D275" s="10">
        <v>-3078076110.21</v>
      </c>
      <c r="E275" s="10">
        <v>-3061525349.04</v>
      </c>
      <c r="F275" s="10">
        <f t="shared" ref="F275" si="111">E275-D275</f>
        <v>16550761.170000076</v>
      </c>
      <c r="G275" s="89">
        <f t="shared" si="109"/>
        <v>99.462301756766152</v>
      </c>
      <c r="H275" s="75"/>
      <c r="I275" s="75"/>
      <c r="J275" s="88"/>
      <c r="K275" s="88"/>
      <c r="L275" s="88"/>
    </row>
    <row r="276" spans="1:12" s="31" customFormat="1" ht="18.75" hidden="1" customHeight="1">
      <c r="A276" s="52" t="s">
        <v>299</v>
      </c>
      <c r="B276" s="8" t="s">
        <v>6</v>
      </c>
      <c r="C276" s="11" t="s">
        <v>300</v>
      </c>
      <c r="D276" s="10">
        <f t="shared" ref="D276:F278" si="112">D277</f>
        <v>3092756058.1300001</v>
      </c>
      <c r="E276" s="10">
        <f t="shared" si="112"/>
        <v>3066174189.96</v>
      </c>
      <c r="F276" s="10">
        <f t="shared" si="112"/>
        <v>-26581868.170000076</v>
      </c>
      <c r="G276" s="89">
        <f t="shared" si="109"/>
        <v>99.140511968277494</v>
      </c>
      <c r="H276" s="75"/>
      <c r="I276" s="75"/>
    </row>
    <row r="277" spans="1:12" s="31" customFormat="1" ht="16.899999999999999" hidden="1" customHeight="1">
      <c r="A277" s="52" t="s">
        <v>301</v>
      </c>
      <c r="B277" s="8" t="s">
        <v>6</v>
      </c>
      <c r="C277" s="11" t="s">
        <v>302</v>
      </c>
      <c r="D277" s="10">
        <f t="shared" si="112"/>
        <v>3092756058.1300001</v>
      </c>
      <c r="E277" s="10">
        <f t="shared" si="112"/>
        <v>3066174189.96</v>
      </c>
      <c r="F277" s="10">
        <f t="shared" si="112"/>
        <v>-26581868.170000076</v>
      </c>
      <c r="G277" s="89">
        <f t="shared" si="109"/>
        <v>99.140511968277494</v>
      </c>
      <c r="H277" s="75"/>
      <c r="I277" s="75"/>
    </row>
    <row r="278" spans="1:12" s="31" customFormat="1" ht="27" hidden="1" customHeight="1">
      <c r="A278" s="52" t="s">
        <v>304</v>
      </c>
      <c r="B278" s="8" t="s">
        <v>6</v>
      </c>
      <c r="C278" s="11" t="s">
        <v>303</v>
      </c>
      <c r="D278" s="10">
        <f t="shared" si="112"/>
        <v>3092756058.1300001</v>
      </c>
      <c r="E278" s="10">
        <f t="shared" si="112"/>
        <v>3066174189.96</v>
      </c>
      <c r="F278" s="10">
        <f t="shared" si="112"/>
        <v>-26581868.170000076</v>
      </c>
      <c r="G278" s="89">
        <f t="shared" si="109"/>
        <v>99.140511968277494</v>
      </c>
      <c r="H278" s="75"/>
      <c r="I278" s="75"/>
    </row>
    <row r="279" spans="1:12" s="31" customFormat="1" ht="34.15" hidden="1" customHeight="1">
      <c r="A279" s="52" t="s">
        <v>304</v>
      </c>
      <c r="B279" s="8" t="s">
        <v>6</v>
      </c>
      <c r="C279" s="11" t="s">
        <v>305</v>
      </c>
      <c r="D279" s="10">
        <v>3092756058.1300001</v>
      </c>
      <c r="E279" s="10">
        <v>3066174189.96</v>
      </c>
      <c r="F279" s="10">
        <f t="shared" ref="F279" si="113">E279-D279</f>
        <v>-26581868.170000076</v>
      </c>
      <c r="G279" s="89">
        <f t="shared" si="109"/>
        <v>99.140511968277494</v>
      </c>
      <c r="H279" s="75"/>
      <c r="I279" s="75"/>
      <c r="J279" s="88"/>
      <c r="K279" s="88"/>
      <c r="L279" s="88"/>
    </row>
    <row r="280" spans="1:12" s="31" customFormat="1">
      <c r="A280" s="72"/>
      <c r="B280" s="73"/>
      <c r="C280" s="74"/>
      <c r="D280" s="75"/>
      <c r="E280" s="75"/>
      <c r="F280" s="75"/>
      <c r="G280" s="75"/>
      <c r="I280" s="60"/>
    </row>
    <row r="281" spans="1:12" s="31" customFormat="1">
      <c r="A281" s="72"/>
      <c r="B281" s="73"/>
      <c r="C281" s="74"/>
      <c r="D281" s="80"/>
      <c r="E281" s="75"/>
      <c r="F281" s="75"/>
      <c r="G281" s="75"/>
      <c r="I281" s="60"/>
    </row>
    <row r="282" spans="1:12" s="31" customFormat="1">
      <c r="A282" s="56"/>
      <c r="B282" s="32"/>
      <c r="C282" s="33"/>
      <c r="D282" s="34"/>
      <c r="E282" s="35"/>
      <c r="F282" s="34"/>
      <c r="G282" s="34"/>
      <c r="I282" s="60"/>
    </row>
    <row r="283" spans="1:12" s="31" customFormat="1" ht="23.45" customHeight="1">
      <c r="A283" s="110" t="s">
        <v>483</v>
      </c>
      <c r="B283" s="36"/>
      <c r="C283" s="37"/>
      <c r="D283" s="37"/>
      <c r="E283" s="123" t="s">
        <v>484</v>
      </c>
      <c r="F283" s="123"/>
      <c r="G283" s="123"/>
      <c r="I283" s="60"/>
    </row>
    <row r="284" spans="1:12" s="41" customFormat="1" ht="18.75">
      <c r="A284" s="57"/>
      <c r="B284" s="38"/>
      <c r="C284" s="39"/>
      <c r="D284" s="39"/>
      <c r="E284" s="40"/>
      <c r="F284" s="39"/>
      <c r="G284" s="39"/>
      <c r="I284" s="71"/>
    </row>
    <row r="286" spans="1:12" s="31" customFormat="1" ht="18.75">
      <c r="A286" s="61"/>
      <c r="B286" s="62"/>
      <c r="C286" s="39"/>
      <c r="D286" s="39"/>
      <c r="E286" s="121"/>
      <c r="F286" s="121"/>
      <c r="G286" s="30"/>
      <c r="H286" s="30"/>
      <c r="I286" s="60"/>
    </row>
    <row r="287" spans="1:12" s="31" customFormat="1">
      <c r="A287" s="56"/>
      <c r="B287" s="32"/>
      <c r="C287" s="33"/>
      <c r="D287" s="34"/>
      <c r="E287" s="35"/>
      <c r="F287" s="34"/>
      <c r="G287" s="34"/>
      <c r="I287" s="60"/>
    </row>
    <row r="289" spans="1:9" s="31" customFormat="1" ht="18.75">
      <c r="A289" s="57"/>
      <c r="B289" s="36"/>
      <c r="C289" s="37"/>
      <c r="D289" s="37"/>
      <c r="E289" s="122"/>
      <c r="F289" s="122"/>
      <c r="I289" s="60"/>
    </row>
    <row r="290" spans="1:9" s="41" customFormat="1" ht="18.75">
      <c r="A290" s="57"/>
      <c r="B290" s="38"/>
      <c r="C290" s="39"/>
      <c r="D290" s="39"/>
      <c r="E290" s="40"/>
      <c r="F290" s="39"/>
      <c r="G290" s="39"/>
      <c r="I290" s="71"/>
    </row>
    <row r="292" spans="1:9" s="31" customFormat="1" ht="18.75">
      <c r="A292" s="61"/>
      <c r="B292" s="62"/>
      <c r="C292" s="39"/>
      <c r="D292" s="39"/>
      <c r="E292" s="121"/>
      <c r="F292" s="121"/>
      <c r="G292" s="30"/>
      <c r="H292" s="30"/>
      <c r="I292" s="60"/>
    </row>
    <row r="294" spans="1:9" ht="14.25">
      <c r="A294" s="58"/>
      <c r="B294" s="42"/>
      <c r="C294" s="43"/>
      <c r="D294" s="13"/>
      <c r="E294" s="59"/>
      <c r="F294" s="13"/>
      <c r="G294" s="13"/>
      <c r="H294" s="30"/>
    </row>
    <row r="295" spans="1:9">
      <c r="C295" s="44"/>
      <c r="D295" s="13"/>
      <c r="E295" s="59"/>
      <c r="F295" s="13"/>
      <c r="G295" s="13"/>
      <c r="H295" s="30"/>
    </row>
    <row r="296" spans="1:9">
      <c r="C296" s="44"/>
      <c r="D296" s="13"/>
      <c r="E296" s="59"/>
      <c r="F296" s="13"/>
      <c r="G296" s="13"/>
      <c r="H296" s="30"/>
    </row>
    <row r="297" spans="1:9">
      <c r="C297" s="44"/>
      <c r="D297" s="13"/>
      <c r="E297" s="59"/>
      <c r="F297" s="13"/>
      <c r="G297" s="13"/>
      <c r="H297" s="30"/>
    </row>
    <row r="299" spans="1:9">
      <c r="C299" s="44"/>
    </row>
  </sheetData>
  <autoFilter ref="A9:XEP279">
    <filterColumn colId="1">
      <filters>
        <filter val="909"/>
      </filters>
    </filterColumn>
  </autoFilter>
  <mergeCells count="16">
    <mergeCell ref="G8:G9"/>
    <mergeCell ref="E292:F292"/>
    <mergeCell ref="E289:F289"/>
    <mergeCell ref="E286:F286"/>
    <mergeCell ref="E283:G283"/>
    <mergeCell ref="A6:G6"/>
    <mergeCell ref="E1:G1"/>
    <mergeCell ref="E2:G2"/>
    <mergeCell ref="E3:G3"/>
    <mergeCell ref="E4:G4"/>
    <mergeCell ref="E5:G5"/>
    <mergeCell ref="A8:A9"/>
    <mergeCell ref="B8:C8"/>
    <mergeCell ref="D8:D9"/>
    <mergeCell ref="E8:E9"/>
    <mergeCell ref="F8:F9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2019-2021</vt:lpstr>
      <vt:lpstr>'2019-2021'!Заголовки_для_печати</vt:lpstr>
      <vt:lpstr>'2019-2021'!Область_печати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2020-11-03T02:30:57Z</dcterms:modified>
</cp:coreProperties>
</file>