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на 01.01.2022" sheetId="7" r:id="rId1"/>
  </sheets>
  <definedNames>
    <definedName name="_xlnm._FilterDatabase" localSheetId="0" hidden="1">'на 01.01.2022'!$A$11:$AS$330</definedName>
    <definedName name="_xlnm.Print_Titles" localSheetId="0">'на 01.01.2022'!$8:$10</definedName>
  </definedNames>
  <calcPr calcId="152511" iterate="1"/>
</workbook>
</file>

<file path=xl/calcChain.xml><?xml version="1.0" encoding="utf-8"?>
<calcChain xmlns="http://schemas.openxmlformats.org/spreadsheetml/2006/main">
  <c r="H72" i="7" l="1"/>
  <c r="H74" i="7"/>
  <c r="AC313" i="7"/>
  <c r="AC317" i="7"/>
  <c r="AC321" i="7"/>
  <c r="AC326" i="7"/>
  <c r="AC330" i="7"/>
  <c r="AB313" i="7" l="1"/>
  <c r="AB317" i="7"/>
  <c r="AB321" i="7"/>
  <c r="AB326" i="7"/>
  <c r="AB330" i="7"/>
  <c r="Z329" i="7"/>
  <c r="Z328" i="7" s="1"/>
  <c r="Z325" i="7"/>
  <c r="Z320" i="7"/>
  <c r="Z316" i="7"/>
  <c r="Z315" i="7" s="1"/>
  <c r="Z312" i="7"/>
  <c r="S183" i="7"/>
  <c r="T183" i="7"/>
  <c r="W183" i="7"/>
  <c r="X183" i="7"/>
  <c r="Y183" i="7"/>
  <c r="R183" i="7"/>
  <c r="M183" i="7"/>
  <c r="K183" i="7"/>
  <c r="O183" i="7"/>
  <c r="H141" i="7"/>
  <c r="U155" i="7"/>
  <c r="V155" i="7" s="1"/>
  <c r="Y154" i="7"/>
  <c r="X154" i="7"/>
  <c r="W154" i="7"/>
  <c r="T154" i="7"/>
  <c r="S154" i="7"/>
  <c r="R154" i="7"/>
  <c r="Q154" i="7"/>
  <c r="P154" i="7"/>
  <c r="O154" i="7"/>
  <c r="N154" i="7"/>
  <c r="M154" i="7"/>
  <c r="L154" i="7"/>
  <c r="K154" i="7"/>
  <c r="J154" i="7"/>
  <c r="I154" i="7"/>
  <c r="H154" i="7"/>
  <c r="Z192" i="7"/>
  <c r="AC192" i="7" s="1"/>
  <c r="Z133" i="7"/>
  <c r="Z81" i="7"/>
  <c r="AC81" i="7" s="1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X79" i="7"/>
  <c r="Y79" i="7"/>
  <c r="Z79" i="7"/>
  <c r="H50" i="7"/>
  <c r="I50" i="7"/>
  <c r="J50" i="7"/>
  <c r="K50" i="7"/>
  <c r="M50" i="7"/>
  <c r="N50" i="7"/>
  <c r="O50" i="7"/>
  <c r="R50" i="7"/>
  <c r="S50" i="7"/>
  <c r="Z37" i="7"/>
  <c r="Y34" i="7"/>
  <c r="Y236" i="7"/>
  <c r="Y284" i="7"/>
  <c r="Y269" i="7"/>
  <c r="Y267" i="7"/>
  <c r="Y254" i="7"/>
  <c r="Y248" i="7"/>
  <c r="Y249" i="7"/>
  <c r="Y277" i="7"/>
  <c r="Y261" i="7"/>
  <c r="Y258" i="7"/>
  <c r="Y268" i="7"/>
  <c r="Y288" i="7"/>
  <c r="Y234" i="7"/>
  <c r="Y227" i="7"/>
  <c r="Y242" i="7"/>
  <c r="Y285" i="7"/>
  <c r="Y264" i="7"/>
  <c r="I190" i="7"/>
  <c r="J190" i="7"/>
  <c r="K190" i="7"/>
  <c r="M190" i="7"/>
  <c r="N190" i="7"/>
  <c r="O190" i="7"/>
  <c r="R190" i="7"/>
  <c r="S190" i="7"/>
  <c r="T190" i="7"/>
  <c r="W190" i="7"/>
  <c r="X190" i="7"/>
  <c r="Y190" i="7"/>
  <c r="H190" i="7"/>
  <c r="I132" i="7"/>
  <c r="J132" i="7"/>
  <c r="K132" i="7"/>
  <c r="L132" i="7"/>
  <c r="M132" i="7"/>
  <c r="N132" i="7"/>
  <c r="O132" i="7"/>
  <c r="P132" i="7"/>
  <c r="Q132" i="7"/>
  <c r="R132" i="7"/>
  <c r="S132" i="7"/>
  <c r="T132" i="7"/>
  <c r="U132" i="7"/>
  <c r="V132" i="7"/>
  <c r="W132" i="7"/>
  <c r="X132" i="7"/>
  <c r="Y132" i="7"/>
  <c r="H133" i="7"/>
  <c r="H132" i="7" s="1"/>
  <c r="H80" i="7"/>
  <c r="H79" i="7" s="1"/>
  <c r="D80" i="7"/>
  <c r="D79" i="7" s="1"/>
  <c r="AC133" i="7" l="1"/>
  <c r="Z319" i="7"/>
  <c r="Z327" i="7"/>
  <c r="Z311" i="7"/>
  <c r="Z324" i="7"/>
  <c r="Z132" i="7"/>
  <c r="AC79" i="7"/>
  <c r="AC80" i="7"/>
  <c r="AB192" i="7"/>
  <c r="AB80" i="7"/>
  <c r="Z314" i="7"/>
  <c r="AB133" i="7"/>
  <c r="AB81" i="7"/>
  <c r="AB79" i="7"/>
  <c r="AB37" i="7"/>
  <c r="U154" i="7"/>
  <c r="V154" i="7" s="1"/>
  <c r="Z155" i="7"/>
  <c r="AB155" i="7" s="1"/>
  <c r="Z154" i="7"/>
  <c r="AB154" i="7" s="1"/>
  <c r="H34" i="7"/>
  <c r="H30" i="7" s="1"/>
  <c r="H31" i="7"/>
  <c r="U330" i="7"/>
  <c r="Q330" i="7"/>
  <c r="Q329" i="7" s="1"/>
  <c r="Q328" i="7" s="1"/>
  <c r="Q327" i="7" s="1"/>
  <c r="Y329" i="7"/>
  <c r="Y328" i="7" s="1"/>
  <c r="Y327" i="7" s="1"/>
  <c r="X329" i="7"/>
  <c r="X328" i="7" s="1"/>
  <c r="X327" i="7" s="1"/>
  <c r="W329" i="7"/>
  <c r="W328" i="7" s="1"/>
  <c r="W327" i="7" s="1"/>
  <c r="T329" i="7"/>
  <c r="T328" i="7" s="1"/>
  <c r="T327" i="7" s="1"/>
  <c r="S329" i="7"/>
  <c r="S328" i="7" s="1"/>
  <c r="S327" i="7" s="1"/>
  <c r="R329" i="7"/>
  <c r="R328" i="7" s="1"/>
  <c r="R327" i="7" s="1"/>
  <c r="P329" i="7"/>
  <c r="O329" i="7"/>
  <c r="O328" i="7" s="1"/>
  <c r="O327" i="7" s="1"/>
  <c r="N329" i="7"/>
  <c r="N328" i="7" s="1"/>
  <c r="N327" i="7" s="1"/>
  <c r="M329" i="7"/>
  <c r="M328" i="7" s="1"/>
  <c r="M327" i="7" s="1"/>
  <c r="L329" i="7"/>
  <c r="L328" i="7" s="1"/>
  <c r="L327" i="7" s="1"/>
  <c r="K329" i="7"/>
  <c r="K328" i="7" s="1"/>
  <c r="K327" i="7" s="1"/>
  <c r="J329" i="7"/>
  <c r="J328" i="7" s="1"/>
  <c r="J327" i="7" s="1"/>
  <c r="I329" i="7"/>
  <c r="I328" i="7" s="1"/>
  <c r="I327" i="7" s="1"/>
  <c r="H329" i="7"/>
  <c r="AB329" i="7" s="1"/>
  <c r="G329" i="7"/>
  <c r="G328" i="7" s="1"/>
  <c r="G327" i="7" s="1"/>
  <c r="F329" i="7"/>
  <c r="F328" i="7" s="1"/>
  <c r="F327" i="7" s="1"/>
  <c r="E329" i="7"/>
  <c r="E328" i="7" s="1"/>
  <c r="E327" i="7" s="1"/>
  <c r="D329" i="7"/>
  <c r="D328" i="7" s="1"/>
  <c r="D327" i="7" s="1"/>
  <c r="P328" i="7"/>
  <c r="P327" i="7" s="1"/>
  <c r="H328" i="7"/>
  <c r="H327" i="7" s="1"/>
  <c r="U326" i="7"/>
  <c r="Q326" i="7"/>
  <c r="Q325" i="7" s="1"/>
  <c r="Q324" i="7" s="1"/>
  <c r="Q323" i="7" s="1"/>
  <c r="Y325" i="7"/>
  <c r="Y324" i="7" s="1"/>
  <c r="Y323" i="7" s="1"/>
  <c r="X325" i="7"/>
  <c r="X324" i="7" s="1"/>
  <c r="X323" i="7" s="1"/>
  <c r="W325" i="7"/>
  <c r="W324" i="7" s="1"/>
  <c r="W323" i="7" s="1"/>
  <c r="T325" i="7"/>
  <c r="T324" i="7" s="1"/>
  <c r="T323" i="7" s="1"/>
  <c r="S325" i="7"/>
  <c r="S324" i="7" s="1"/>
  <c r="S323" i="7" s="1"/>
  <c r="R325" i="7"/>
  <c r="P325" i="7"/>
  <c r="P324" i="7" s="1"/>
  <c r="P323" i="7" s="1"/>
  <c r="O325" i="7"/>
  <c r="O324" i="7" s="1"/>
  <c r="O323" i="7" s="1"/>
  <c r="N325" i="7"/>
  <c r="N324" i="7" s="1"/>
  <c r="N323" i="7" s="1"/>
  <c r="M325" i="7"/>
  <c r="M324" i="7" s="1"/>
  <c r="M323" i="7" s="1"/>
  <c r="L325" i="7"/>
  <c r="L324" i="7" s="1"/>
  <c r="L323" i="7" s="1"/>
  <c r="K325" i="7"/>
  <c r="K324" i="7" s="1"/>
  <c r="K323" i="7" s="1"/>
  <c r="J325" i="7"/>
  <c r="J324" i="7" s="1"/>
  <c r="J323" i="7" s="1"/>
  <c r="I325" i="7"/>
  <c r="I324" i="7" s="1"/>
  <c r="I323" i="7" s="1"/>
  <c r="H325" i="7"/>
  <c r="H324" i="7" s="1"/>
  <c r="H323" i="7" s="1"/>
  <c r="G325" i="7"/>
  <c r="G324" i="7" s="1"/>
  <c r="G323" i="7" s="1"/>
  <c r="F325" i="7"/>
  <c r="F324" i="7" s="1"/>
  <c r="F323" i="7" s="1"/>
  <c r="E325" i="7"/>
  <c r="E324" i="7" s="1"/>
  <c r="E323" i="7" s="1"/>
  <c r="D325" i="7"/>
  <c r="D324" i="7" s="1"/>
  <c r="D323" i="7" s="1"/>
  <c r="U321" i="7"/>
  <c r="Q321" i="7"/>
  <c r="Q320" i="7" s="1"/>
  <c r="Q319" i="7" s="1"/>
  <c r="Q318" i="7" s="1"/>
  <c r="Y320" i="7"/>
  <c r="Y319" i="7" s="1"/>
  <c r="Y318" i="7" s="1"/>
  <c r="X320" i="7"/>
  <c r="X319" i="7" s="1"/>
  <c r="X318" i="7" s="1"/>
  <c r="W320" i="7"/>
  <c r="W319" i="7" s="1"/>
  <c r="W318" i="7" s="1"/>
  <c r="T320" i="7"/>
  <c r="S320" i="7"/>
  <c r="R320" i="7"/>
  <c r="R319" i="7" s="1"/>
  <c r="P320" i="7"/>
  <c r="O320" i="7"/>
  <c r="O319" i="7" s="1"/>
  <c r="O318" i="7" s="1"/>
  <c r="N320" i="7"/>
  <c r="N319" i="7" s="1"/>
  <c r="N318" i="7" s="1"/>
  <c r="M320" i="7"/>
  <c r="M319" i="7" s="1"/>
  <c r="M318" i="7" s="1"/>
  <c r="L320" i="7"/>
  <c r="L319" i="7" s="1"/>
  <c r="K320" i="7"/>
  <c r="K319" i="7" s="1"/>
  <c r="K318" i="7" s="1"/>
  <c r="J320" i="7"/>
  <c r="J319" i="7" s="1"/>
  <c r="J318" i="7" s="1"/>
  <c r="I320" i="7"/>
  <c r="I319" i="7" s="1"/>
  <c r="I318" i="7" s="1"/>
  <c r="H320" i="7"/>
  <c r="H319" i="7" s="1"/>
  <c r="H318" i="7" s="1"/>
  <c r="G320" i="7"/>
  <c r="G319" i="7" s="1"/>
  <c r="G318" i="7" s="1"/>
  <c r="F320" i="7"/>
  <c r="F319" i="7" s="1"/>
  <c r="F318" i="7" s="1"/>
  <c r="E320" i="7"/>
  <c r="E319" i="7" s="1"/>
  <c r="E318" i="7" s="1"/>
  <c r="D320" i="7"/>
  <c r="D319" i="7" s="1"/>
  <c r="D318" i="7" s="1"/>
  <c r="T319" i="7"/>
  <c r="T318" i="7" s="1"/>
  <c r="P319" i="7"/>
  <c r="P318" i="7" s="1"/>
  <c r="U317" i="7"/>
  <c r="P317" i="7"/>
  <c r="L317" i="7"/>
  <c r="L316" i="7" s="1"/>
  <c r="L315" i="7" s="1"/>
  <c r="Y316" i="7"/>
  <c r="Y315" i="7" s="1"/>
  <c r="Y314" i="7" s="1"/>
  <c r="X316" i="7"/>
  <c r="X315" i="7" s="1"/>
  <c r="X314" i="7" s="1"/>
  <c r="W316" i="7"/>
  <c r="W315" i="7" s="1"/>
  <c r="W314" i="7" s="1"/>
  <c r="T316" i="7"/>
  <c r="T315" i="7" s="1"/>
  <c r="T314" i="7" s="1"/>
  <c r="S316" i="7"/>
  <c r="S315" i="7" s="1"/>
  <c r="S314" i="7" s="1"/>
  <c r="R316" i="7"/>
  <c r="R315" i="7" s="1"/>
  <c r="P316" i="7"/>
  <c r="P315" i="7" s="1"/>
  <c r="P314" i="7" s="1"/>
  <c r="O316" i="7"/>
  <c r="O315" i="7" s="1"/>
  <c r="O314" i="7" s="1"/>
  <c r="N316" i="7"/>
  <c r="N315" i="7" s="1"/>
  <c r="N314" i="7" s="1"/>
  <c r="M316" i="7"/>
  <c r="M315" i="7" s="1"/>
  <c r="M314" i="7" s="1"/>
  <c r="K316" i="7"/>
  <c r="K315" i="7" s="1"/>
  <c r="K314" i="7" s="1"/>
  <c r="J316" i="7"/>
  <c r="J315" i="7" s="1"/>
  <c r="J314" i="7" s="1"/>
  <c r="I316" i="7"/>
  <c r="H316" i="7"/>
  <c r="AC316" i="7" s="1"/>
  <c r="G316" i="7"/>
  <c r="G315" i="7" s="1"/>
  <c r="G314" i="7" s="1"/>
  <c r="F316" i="7"/>
  <c r="F315" i="7" s="1"/>
  <c r="F314" i="7" s="1"/>
  <c r="E316" i="7"/>
  <c r="E315" i="7" s="1"/>
  <c r="E314" i="7" s="1"/>
  <c r="D316" i="7"/>
  <c r="D315" i="7" s="1"/>
  <c r="D314" i="7" s="1"/>
  <c r="I315" i="7"/>
  <c r="I314" i="7" s="1"/>
  <c r="U313" i="7"/>
  <c r="P313" i="7"/>
  <c r="L313" i="7"/>
  <c r="Y312" i="7"/>
  <c r="X312" i="7"/>
  <c r="W312" i="7"/>
  <c r="T312" i="7"/>
  <c r="S312" i="7"/>
  <c r="R312" i="7"/>
  <c r="O312" i="7"/>
  <c r="N312" i="7"/>
  <c r="M312" i="7"/>
  <c r="L312" i="7"/>
  <c r="K312" i="7"/>
  <c r="J312" i="7"/>
  <c r="I312" i="7"/>
  <c r="H312" i="7"/>
  <c r="AB312" i="7" s="1"/>
  <c r="G312" i="7"/>
  <c r="F312" i="7"/>
  <c r="E312" i="7"/>
  <c r="D312" i="7"/>
  <c r="Y311" i="7"/>
  <c r="X311" i="7"/>
  <c r="W311" i="7"/>
  <c r="T311" i="7"/>
  <c r="S311" i="7"/>
  <c r="R311" i="7"/>
  <c r="O311" i="7"/>
  <c r="N311" i="7"/>
  <c r="M311" i="7"/>
  <c r="L311" i="7"/>
  <c r="K311" i="7"/>
  <c r="J311" i="7"/>
  <c r="I311" i="7"/>
  <c r="H311" i="7"/>
  <c r="G311" i="7"/>
  <c r="F311" i="7"/>
  <c r="E311" i="7"/>
  <c r="D311" i="7"/>
  <c r="U308" i="7"/>
  <c r="P308" i="7"/>
  <c r="L308" i="7"/>
  <c r="G308" i="7"/>
  <c r="U307" i="7"/>
  <c r="P307" i="7"/>
  <c r="L307" i="7"/>
  <c r="U306" i="7"/>
  <c r="P306" i="7"/>
  <c r="L306" i="7"/>
  <c r="U305" i="7"/>
  <c r="P305" i="7"/>
  <c r="L305" i="7"/>
  <c r="U304" i="7"/>
  <c r="P304" i="7"/>
  <c r="L304" i="7"/>
  <c r="G304" i="7"/>
  <c r="Y303" i="7"/>
  <c r="X303" i="7"/>
  <c r="W303" i="7"/>
  <c r="T303" i="7"/>
  <c r="S303" i="7"/>
  <c r="R303" i="7"/>
  <c r="O303" i="7"/>
  <c r="N303" i="7"/>
  <c r="M303" i="7"/>
  <c r="K303" i="7"/>
  <c r="J303" i="7"/>
  <c r="I303" i="7"/>
  <c r="H303" i="7"/>
  <c r="F303" i="7"/>
  <c r="E303" i="7"/>
  <c r="D303" i="7"/>
  <c r="Y302" i="7"/>
  <c r="X302" i="7"/>
  <c r="W302" i="7"/>
  <c r="T302" i="7"/>
  <c r="S302" i="7"/>
  <c r="R302" i="7"/>
  <c r="O302" i="7"/>
  <c r="N302" i="7"/>
  <c r="M302" i="7"/>
  <c r="K302" i="7"/>
  <c r="J302" i="7"/>
  <c r="I302" i="7"/>
  <c r="H302" i="7"/>
  <c r="F302" i="7"/>
  <c r="E302" i="7"/>
  <c r="D302" i="7"/>
  <c r="U301" i="7"/>
  <c r="P301" i="7"/>
  <c r="L301" i="7"/>
  <c r="G301" i="7"/>
  <c r="U300" i="7"/>
  <c r="P300" i="7"/>
  <c r="I300" i="7"/>
  <c r="L300" i="7" s="1"/>
  <c r="H299" i="7"/>
  <c r="H298" i="7" s="1"/>
  <c r="H297" i="7" s="1"/>
  <c r="H296" i="7" s="1"/>
  <c r="G300" i="7"/>
  <c r="G299" i="7" s="1"/>
  <c r="G298" i="7" s="1"/>
  <c r="G297" i="7" s="1"/>
  <c r="G296" i="7" s="1"/>
  <c r="Y299" i="7"/>
  <c r="X299" i="7"/>
  <c r="X298" i="7" s="1"/>
  <c r="X297" i="7" s="1"/>
  <c r="X296" i="7" s="1"/>
  <c r="W299" i="7"/>
  <c r="T299" i="7"/>
  <c r="T298" i="7" s="1"/>
  <c r="T297" i="7" s="1"/>
  <c r="T296" i="7" s="1"/>
  <c r="S299" i="7"/>
  <c r="R299" i="7"/>
  <c r="R298" i="7" s="1"/>
  <c r="R297" i="7" s="1"/>
  <c r="R296" i="7" s="1"/>
  <c r="O299" i="7"/>
  <c r="N299" i="7"/>
  <c r="N298" i="7" s="1"/>
  <c r="N297" i="7" s="1"/>
  <c r="N296" i="7" s="1"/>
  <c r="M299" i="7"/>
  <c r="K299" i="7"/>
  <c r="K298" i="7" s="1"/>
  <c r="K297" i="7" s="1"/>
  <c r="K296" i="7" s="1"/>
  <c r="J299" i="7"/>
  <c r="I299" i="7"/>
  <c r="I298" i="7" s="1"/>
  <c r="I297" i="7" s="1"/>
  <c r="I296" i="7" s="1"/>
  <c r="F299" i="7"/>
  <c r="E299" i="7"/>
  <c r="E298" i="7" s="1"/>
  <c r="E297" i="7" s="1"/>
  <c r="E296" i="7" s="1"/>
  <c r="D299" i="7"/>
  <c r="Y298" i="7"/>
  <c r="Y297" i="7" s="1"/>
  <c r="Y296" i="7" s="1"/>
  <c r="W298" i="7"/>
  <c r="W297" i="7" s="1"/>
  <c r="W296" i="7" s="1"/>
  <c r="S298" i="7"/>
  <c r="S297" i="7" s="1"/>
  <c r="S296" i="7" s="1"/>
  <c r="O298" i="7"/>
  <c r="O297" i="7" s="1"/>
  <c r="O296" i="7" s="1"/>
  <c r="M298" i="7"/>
  <c r="M297" i="7" s="1"/>
  <c r="M296" i="7" s="1"/>
  <c r="J298" i="7"/>
  <c r="J297" i="7" s="1"/>
  <c r="J296" i="7" s="1"/>
  <c r="F298" i="7"/>
  <c r="F297" i="7" s="1"/>
  <c r="F296" i="7" s="1"/>
  <c r="D298" i="7"/>
  <c r="D297" i="7" s="1"/>
  <c r="D296" i="7" s="1"/>
  <c r="X295" i="7"/>
  <c r="X294" i="7" s="1"/>
  <c r="X293" i="7" s="1"/>
  <c r="T295" i="7"/>
  <c r="U295" i="7" s="1"/>
  <c r="P295" i="7"/>
  <c r="P294" i="7" s="1"/>
  <c r="P293" i="7" s="1"/>
  <c r="L295" i="7"/>
  <c r="Y294" i="7"/>
  <c r="Y293" i="7" s="1"/>
  <c r="W294" i="7"/>
  <c r="W293" i="7" s="1"/>
  <c r="S294" i="7"/>
  <c r="S293" i="7" s="1"/>
  <c r="R294" i="7"/>
  <c r="R293" i="7" s="1"/>
  <c r="O294" i="7"/>
  <c r="O293" i="7" s="1"/>
  <c r="N294" i="7"/>
  <c r="N293" i="7" s="1"/>
  <c r="M294" i="7"/>
  <c r="M293" i="7" s="1"/>
  <c r="K294" i="7"/>
  <c r="K293" i="7" s="1"/>
  <c r="J294" i="7"/>
  <c r="J293" i="7" s="1"/>
  <c r="I294" i="7"/>
  <c r="I293" i="7" s="1"/>
  <c r="H294" i="7"/>
  <c r="H293" i="7" s="1"/>
  <c r="G294" i="7"/>
  <c r="G293" i="7" s="1"/>
  <c r="F294" i="7"/>
  <c r="E294" i="7"/>
  <c r="D294" i="7"/>
  <c r="U292" i="7"/>
  <c r="P292" i="7"/>
  <c r="L292" i="7"/>
  <c r="Y291" i="7"/>
  <c r="X291" i="7"/>
  <c r="W291" i="7"/>
  <c r="T291" i="7"/>
  <c r="S291" i="7"/>
  <c r="R291" i="7"/>
  <c r="O291" i="7"/>
  <c r="N291" i="7"/>
  <c r="M291" i="7"/>
  <c r="L291" i="7"/>
  <c r="K291" i="7"/>
  <c r="J291" i="7"/>
  <c r="I291" i="7"/>
  <c r="H291" i="7"/>
  <c r="G291" i="7"/>
  <c r="F291" i="7"/>
  <c r="E291" i="7"/>
  <c r="D291" i="7"/>
  <c r="U290" i="7"/>
  <c r="P290" i="7"/>
  <c r="L290" i="7"/>
  <c r="Y289" i="7"/>
  <c r="X289" i="7"/>
  <c r="W289" i="7"/>
  <c r="T289" i="7"/>
  <c r="S289" i="7"/>
  <c r="R289" i="7"/>
  <c r="P289" i="7"/>
  <c r="O289" i="7"/>
  <c r="N289" i="7"/>
  <c r="M289" i="7"/>
  <c r="K289" i="7"/>
  <c r="J289" i="7"/>
  <c r="I289" i="7"/>
  <c r="H289" i="7"/>
  <c r="G289" i="7"/>
  <c r="F289" i="7"/>
  <c r="E289" i="7"/>
  <c r="D289" i="7"/>
  <c r="X288" i="7"/>
  <c r="X287" i="7" s="1"/>
  <c r="W288" i="7"/>
  <c r="T288" i="7"/>
  <c r="T287" i="7" s="1"/>
  <c r="S288" i="7"/>
  <c r="O288" i="7"/>
  <c r="P288" i="7" s="1"/>
  <c r="P287" i="7" s="1"/>
  <c r="K288" i="7"/>
  <c r="L288" i="7" s="1"/>
  <c r="Y287" i="7"/>
  <c r="W287" i="7"/>
  <c r="S287" i="7"/>
  <c r="R287" i="7"/>
  <c r="N287" i="7"/>
  <c r="M287" i="7"/>
  <c r="K287" i="7"/>
  <c r="J287" i="7"/>
  <c r="I287" i="7"/>
  <c r="H287" i="7"/>
  <c r="G287" i="7"/>
  <c r="F287" i="7"/>
  <c r="E287" i="7"/>
  <c r="D287" i="7"/>
  <c r="X285" i="7"/>
  <c r="W285" i="7"/>
  <c r="T285" i="7"/>
  <c r="S285" i="7"/>
  <c r="O285" i="7"/>
  <c r="N285" i="7"/>
  <c r="M285" i="7"/>
  <c r="P285" i="7" s="1"/>
  <c r="K285" i="7"/>
  <c r="L285" i="7" s="1"/>
  <c r="G285" i="7"/>
  <c r="F285" i="7"/>
  <c r="E285" i="7"/>
  <c r="D285" i="7"/>
  <c r="X284" i="7"/>
  <c r="X283" i="7" s="1"/>
  <c r="X282" i="7" s="1"/>
  <c r="W284" i="7"/>
  <c r="W283" i="7" s="1"/>
  <c r="W282" i="7" s="1"/>
  <c r="T284" i="7"/>
  <c r="S284" i="7"/>
  <c r="O284" i="7"/>
  <c r="N284" i="7"/>
  <c r="M284" i="7"/>
  <c r="K284" i="7"/>
  <c r="L284" i="7" s="1"/>
  <c r="H284" i="7"/>
  <c r="H283" i="7" s="1"/>
  <c r="H282" i="7" s="1"/>
  <c r="G284" i="7"/>
  <c r="F284" i="7"/>
  <c r="F283" i="7" s="1"/>
  <c r="F282" i="7" s="1"/>
  <c r="E284" i="7"/>
  <c r="D284" i="7"/>
  <c r="D283" i="7" s="1"/>
  <c r="D282" i="7" s="1"/>
  <c r="Y283" i="7"/>
  <c r="T283" i="7"/>
  <c r="T282" i="7" s="1"/>
  <c r="R283" i="7"/>
  <c r="N283" i="7"/>
  <c r="N282" i="7" s="1"/>
  <c r="J283" i="7"/>
  <c r="I283" i="7"/>
  <c r="I282" i="7" s="1"/>
  <c r="G283" i="7"/>
  <c r="G282" i="7" s="1"/>
  <c r="E283" i="7"/>
  <c r="E282" i="7" s="1"/>
  <c r="Y282" i="7"/>
  <c r="R282" i="7"/>
  <c r="J282" i="7"/>
  <c r="U281" i="7"/>
  <c r="V281" i="7" s="1"/>
  <c r="Q281" i="7"/>
  <c r="H281" i="7"/>
  <c r="H280" i="7" s="1"/>
  <c r="Y280" i="7"/>
  <c r="X280" i="7"/>
  <c r="W280" i="7"/>
  <c r="T280" i="7"/>
  <c r="S280" i="7"/>
  <c r="R280" i="7"/>
  <c r="P280" i="7"/>
  <c r="O280" i="7"/>
  <c r="N280" i="7"/>
  <c r="M280" i="7"/>
  <c r="L280" i="7"/>
  <c r="Q280" i="7" s="1"/>
  <c r="K280" i="7"/>
  <c r="J280" i="7"/>
  <c r="I280" i="7"/>
  <c r="G280" i="7"/>
  <c r="F280" i="7"/>
  <c r="E280" i="7"/>
  <c r="D280" i="7"/>
  <c r="U279" i="7"/>
  <c r="P279" i="7"/>
  <c r="P278" i="7" s="1"/>
  <c r="L279" i="7"/>
  <c r="Y278" i="7"/>
  <c r="X278" i="7"/>
  <c r="W278" i="7"/>
  <c r="T278" i="7"/>
  <c r="S278" i="7"/>
  <c r="R278" i="7"/>
  <c r="O278" i="7"/>
  <c r="N278" i="7"/>
  <c r="M278" i="7"/>
  <c r="L278" i="7"/>
  <c r="K278" i="7"/>
  <c r="J278" i="7"/>
  <c r="I278" i="7"/>
  <c r="H278" i="7"/>
  <c r="G278" i="7"/>
  <c r="F278" i="7"/>
  <c r="E278" i="7"/>
  <c r="D278" i="7"/>
  <c r="U277" i="7"/>
  <c r="P277" i="7"/>
  <c r="L277" i="7"/>
  <c r="H277" i="7"/>
  <c r="G277" i="7"/>
  <c r="X276" i="7"/>
  <c r="W276" i="7"/>
  <c r="U276" i="7"/>
  <c r="P276" i="7"/>
  <c r="K276" i="7"/>
  <c r="L276" i="7" s="1"/>
  <c r="H276" i="7"/>
  <c r="U275" i="7"/>
  <c r="P275" i="7"/>
  <c r="L275" i="7"/>
  <c r="U274" i="7"/>
  <c r="P274" i="7"/>
  <c r="L274" i="7"/>
  <c r="H274" i="7"/>
  <c r="W273" i="7"/>
  <c r="U273" i="7"/>
  <c r="M273" i="7"/>
  <c r="P273" i="7" s="1"/>
  <c r="K273" i="7"/>
  <c r="L273" i="7" s="1"/>
  <c r="H273" i="7"/>
  <c r="W272" i="7"/>
  <c r="U272" i="7"/>
  <c r="P272" i="7"/>
  <c r="K272" i="7"/>
  <c r="L272" i="7" s="1"/>
  <c r="H272" i="7"/>
  <c r="U271" i="7"/>
  <c r="P271" i="7"/>
  <c r="L271" i="7"/>
  <c r="H271" i="7"/>
  <c r="U270" i="7"/>
  <c r="P270" i="7"/>
  <c r="L270" i="7"/>
  <c r="H270" i="7"/>
  <c r="X269" i="7"/>
  <c r="W269" i="7"/>
  <c r="U269" i="7"/>
  <c r="O269" i="7"/>
  <c r="O266" i="7" s="1"/>
  <c r="O265" i="7" s="1"/>
  <c r="N269" i="7"/>
  <c r="K269" i="7"/>
  <c r="L269" i="7" s="1"/>
  <c r="H269" i="7"/>
  <c r="U268" i="7"/>
  <c r="P268" i="7"/>
  <c r="K268" i="7"/>
  <c r="L268" i="7" s="1"/>
  <c r="G268" i="7"/>
  <c r="F268" i="7"/>
  <c r="F266" i="7" s="1"/>
  <c r="F265" i="7" s="1"/>
  <c r="E268" i="7"/>
  <c r="E266" i="7" s="1"/>
  <c r="E265" i="7" s="1"/>
  <c r="D268" i="7"/>
  <c r="D266" i="7" s="1"/>
  <c r="D265" i="7" s="1"/>
  <c r="X267" i="7"/>
  <c r="W267" i="7"/>
  <c r="U267" i="7"/>
  <c r="M267" i="7"/>
  <c r="P267" i="7" s="1"/>
  <c r="K267" i="7"/>
  <c r="L267" i="7" s="1"/>
  <c r="Y266" i="7"/>
  <c r="T266" i="7"/>
  <c r="S266" i="7"/>
  <c r="R266" i="7"/>
  <c r="N266" i="7"/>
  <c r="J266" i="7"/>
  <c r="I266" i="7"/>
  <c r="Y265" i="7"/>
  <c r="T265" i="7"/>
  <c r="S265" i="7"/>
  <c r="R265" i="7"/>
  <c r="N265" i="7"/>
  <c r="J265" i="7"/>
  <c r="I265" i="7"/>
  <c r="X264" i="7"/>
  <c r="X263" i="7" s="1"/>
  <c r="W264" i="7"/>
  <c r="W263" i="7" s="1"/>
  <c r="T264" i="7"/>
  <c r="T263" i="7" s="1"/>
  <c r="S264" i="7"/>
  <c r="M264" i="7"/>
  <c r="P264" i="7" s="1"/>
  <c r="L264" i="7"/>
  <c r="L263" i="7" s="1"/>
  <c r="Y263" i="7"/>
  <c r="R263" i="7"/>
  <c r="O263" i="7"/>
  <c r="N263" i="7"/>
  <c r="K263" i="7"/>
  <c r="J263" i="7"/>
  <c r="I263" i="7"/>
  <c r="H263" i="7"/>
  <c r="G263" i="7"/>
  <c r="F263" i="7"/>
  <c r="E263" i="7"/>
  <c r="D263" i="7"/>
  <c r="U261" i="7"/>
  <c r="Z261" i="7" s="1"/>
  <c r="Q261" i="7"/>
  <c r="H261" i="7"/>
  <c r="U260" i="7"/>
  <c r="Z260" i="7" s="1"/>
  <c r="Q260" i="7"/>
  <c r="U259" i="7"/>
  <c r="Z259" i="7" s="1"/>
  <c r="Q259" i="7"/>
  <c r="H259" i="7"/>
  <c r="X258" i="7"/>
  <c r="T258" i="7"/>
  <c r="U258" i="7" s="1"/>
  <c r="P258" i="7"/>
  <c r="L258" i="7"/>
  <c r="U257" i="7"/>
  <c r="P257" i="7"/>
  <c r="L257" i="7"/>
  <c r="X256" i="7"/>
  <c r="W256" i="7"/>
  <c r="U256" i="7"/>
  <c r="P256" i="7"/>
  <c r="W255" i="7"/>
  <c r="W244" i="7" s="1"/>
  <c r="W243" i="7" s="1"/>
  <c r="U255" i="7"/>
  <c r="O255" i="7"/>
  <c r="P255" i="7" s="1"/>
  <c r="W254" i="7"/>
  <c r="U254" i="7"/>
  <c r="P254" i="7"/>
  <c r="L254" i="7"/>
  <c r="U253" i="7"/>
  <c r="N253" i="7"/>
  <c r="P253" i="7" s="1"/>
  <c r="L253" i="7"/>
  <c r="U252" i="7"/>
  <c r="P252" i="7"/>
  <c r="U251" i="7"/>
  <c r="P251" i="7"/>
  <c r="U250" i="7"/>
  <c r="P250" i="7"/>
  <c r="X249" i="7"/>
  <c r="W249" i="7"/>
  <c r="U249" i="7"/>
  <c r="N249" i="7"/>
  <c r="P249" i="7" s="1"/>
  <c r="K249" i="7"/>
  <c r="L249" i="7" s="1"/>
  <c r="H249" i="7"/>
  <c r="X248" i="7"/>
  <c r="W248" i="7"/>
  <c r="U248" i="7"/>
  <c r="O248" i="7"/>
  <c r="N248" i="7"/>
  <c r="P248" i="7" s="1"/>
  <c r="K248" i="7"/>
  <c r="L248" i="7" s="1"/>
  <c r="G248" i="7"/>
  <c r="G244" i="7" s="1"/>
  <c r="G243" i="7" s="1"/>
  <c r="F248" i="7"/>
  <c r="E248" i="7"/>
  <c r="E244" i="7" s="1"/>
  <c r="E243" i="7" s="1"/>
  <c r="D248" i="7"/>
  <c r="U247" i="7"/>
  <c r="P247" i="7"/>
  <c r="L247" i="7"/>
  <c r="U246" i="7"/>
  <c r="P246" i="7"/>
  <c r="U245" i="7"/>
  <c r="P245" i="7"/>
  <c r="L245" i="7"/>
  <c r="Y244" i="7"/>
  <c r="Y243" i="7" s="1"/>
  <c r="S244" i="7"/>
  <c r="S243" i="7" s="1"/>
  <c r="R244" i="7"/>
  <c r="M244" i="7"/>
  <c r="M243" i="7" s="1"/>
  <c r="J244" i="7"/>
  <c r="I244" i="7"/>
  <c r="I243" i="7" s="1"/>
  <c r="F244" i="7"/>
  <c r="F243" i="7" s="1"/>
  <c r="D244" i="7"/>
  <c r="D243" i="7" s="1"/>
  <c r="R243" i="7"/>
  <c r="J243" i="7"/>
  <c r="W242" i="7"/>
  <c r="W241" i="7" s="1"/>
  <c r="T242" i="7"/>
  <c r="U242" i="7" s="1"/>
  <c r="P242" i="7"/>
  <c r="Y241" i="7"/>
  <c r="X241" i="7"/>
  <c r="S241" i="7"/>
  <c r="R241" i="7"/>
  <c r="O241" i="7"/>
  <c r="N241" i="7"/>
  <c r="M241" i="7"/>
  <c r="L241" i="7"/>
  <c r="K241" i="7"/>
  <c r="J241" i="7"/>
  <c r="I241" i="7"/>
  <c r="H241" i="7"/>
  <c r="G241" i="7"/>
  <c r="F241" i="7"/>
  <c r="E241" i="7"/>
  <c r="D241" i="7"/>
  <c r="U240" i="7"/>
  <c r="P240" i="7"/>
  <c r="L240" i="7"/>
  <c r="L239" i="7" s="1"/>
  <c r="Y239" i="7"/>
  <c r="X239" i="7"/>
  <c r="W239" i="7"/>
  <c r="T239" i="7"/>
  <c r="S239" i="7"/>
  <c r="R239" i="7"/>
  <c r="P239" i="7"/>
  <c r="O239" i="7"/>
  <c r="N239" i="7"/>
  <c r="M239" i="7"/>
  <c r="K239" i="7"/>
  <c r="J239" i="7"/>
  <c r="I239" i="7"/>
  <c r="H239" i="7"/>
  <c r="G239" i="7"/>
  <c r="F239" i="7"/>
  <c r="E239" i="7"/>
  <c r="D239" i="7"/>
  <c r="U238" i="7"/>
  <c r="P238" i="7"/>
  <c r="K238" i="7"/>
  <c r="L238" i="7" s="1"/>
  <c r="Y237" i="7"/>
  <c r="X237" i="7"/>
  <c r="W237" i="7"/>
  <c r="T237" i="7"/>
  <c r="S237" i="7"/>
  <c r="R237" i="7"/>
  <c r="P237" i="7"/>
  <c r="O237" i="7"/>
  <c r="N237" i="7"/>
  <c r="M237" i="7"/>
  <c r="J237" i="7"/>
  <c r="I237" i="7"/>
  <c r="H237" i="7"/>
  <c r="G237" i="7"/>
  <c r="F237" i="7"/>
  <c r="E237" i="7"/>
  <c r="D237" i="7"/>
  <c r="U236" i="7"/>
  <c r="P236" i="7"/>
  <c r="L236" i="7"/>
  <c r="L235" i="7" s="1"/>
  <c r="H236" i="7"/>
  <c r="H235" i="7" s="1"/>
  <c r="G236" i="7"/>
  <c r="G235" i="7" s="1"/>
  <c r="F236" i="7"/>
  <c r="F235" i="7" s="1"/>
  <c r="E236" i="7"/>
  <c r="E235" i="7" s="1"/>
  <c r="D236" i="7"/>
  <c r="D235" i="7" s="1"/>
  <c r="Y235" i="7"/>
  <c r="X235" i="7"/>
  <c r="W235" i="7"/>
  <c r="T235" i="7"/>
  <c r="S235" i="7"/>
  <c r="R235" i="7"/>
  <c r="O235" i="7"/>
  <c r="N235" i="7"/>
  <c r="M235" i="7"/>
  <c r="K235" i="7"/>
  <c r="J235" i="7"/>
  <c r="I235" i="7"/>
  <c r="X234" i="7"/>
  <c r="X233" i="7" s="1"/>
  <c r="T234" i="7"/>
  <c r="U234" i="7" s="1"/>
  <c r="P234" i="7"/>
  <c r="P233" i="7" s="1"/>
  <c r="K234" i="7"/>
  <c r="L234" i="7" s="1"/>
  <c r="Y233" i="7"/>
  <c r="W233" i="7"/>
  <c r="T233" i="7"/>
  <c r="S233" i="7"/>
  <c r="R233" i="7"/>
  <c r="O233" i="7"/>
  <c r="N233" i="7"/>
  <c r="M233" i="7"/>
  <c r="J233" i="7"/>
  <c r="I233" i="7"/>
  <c r="H233" i="7"/>
  <c r="G233" i="7"/>
  <c r="F233" i="7"/>
  <c r="E233" i="7"/>
  <c r="D233" i="7"/>
  <c r="U232" i="7"/>
  <c r="P232" i="7"/>
  <c r="L232" i="7"/>
  <c r="Y231" i="7"/>
  <c r="X231" i="7"/>
  <c r="W231" i="7"/>
  <c r="T231" i="7"/>
  <c r="S231" i="7"/>
  <c r="R231" i="7"/>
  <c r="O231" i="7"/>
  <c r="N231" i="7"/>
  <c r="M231" i="7"/>
  <c r="L231" i="7"/>
  <c r="K231" i="7"/>
  <c r="J231" i="7"/>
  <c r="I231" i="7"/>
  <c r="H231" i="7"/>
  <c r="G231" i="7"/>
  <c r="F231" i="7"/>
  <c r="E231" i="7"/>
  <c r="D231" i="7"/>
  <c r="U230" i="7"/>
  <c r="P230" i="7"/>
  <c r="L230" i="7"/>
  <c r="Y229" i="7"/>
  <c r="X229" i="7"/>
  <c r="W229" i="7"/>
  <c r="T229" i="7"/>
  <c r="S229" i="7"/>
  <c r="R229" i="7"/>
  <c r="P229" i="7"/>
  <c r="O229" i="7"/>
  <c r="N229" i="7"/>
  <c r="M229" i="7"/>
  <c r="K229" i="7"/>
  <c r="J229" i="7"/>
  <c r="I229" i="7"/>
  <c r="H229" i="7"/>
  <c r="G229" i="7"/>
  <c r="F229" i="7"/>
  <c r="E229" i="7"/>
  <c r="D229" i="7"/>
  <c r="T227" i="7"/>
  <c r="U227" i="7" s="1"/>
  <c r="M227" i="7"/>
  <c r="P227" i="7" s="1"/>
  <c r="L227" i="7"/>
  <c r="Y226" i="7"/>
  <c r="X226" i="7"/>
  <c r="W226" i="7"/>
  <c r="T226" i="7"/>
  <c r="S226" i="7"/>
  <c r="R226" i="7"/>
  <c r="O226" i="7"/>
  <c r="N226" i="7"/>
  <c r="K226" i="7"/>
  <c r="J226" i="7"/>
  <c r="I226" i="7"/>
  <c r="H226" i="7"/>
  <c r="G226" i="7"/>
  <c r="F226" i="7"/>
  <c r="E226" i="7"/>
  <c r="D226" i="7"/>
  <c r="U225" i="7"/>
  <c r="P225" i="7"/>
  <c r="L225" i="7"/>
  <c r="Y224" i="7"/>
  <c r="X224" i="7"/>
  <c r="W224" i="7"/>
  <c r="T224" i="7"/>
  <c r="S224" i="7"/>
  <c r="R224" i="7"/>
  <c r="O224" i="7"/>
  <c r="N224" i="7"/>
  <c r="M224" i="7"/>
  <c r="L224" i="7"/>
  <c r="K224" i="7"/>
  <c r="J224" i="7"/>
  <c r="I224" i="7"/>
  <c r="H224" i="7"/>
  <c r="G224" i="7"/>
  <c r="F224" i="7"/>
  <c r="E224" i="7"/>
  <c r="D224" i="7"/>
  <c r="D223" i="7" s="1"/>
  <c r="U220" i="7"/>
  <c r="P220" i="7"/>
  <c r="L220" i="7"/>
  <c r="Y219" i="7"/>
  <c r="X219" i="7"/>
  <c r="X218" i="7" s="1"/>
  <c r="W219" i="7"/>
  <c r="W218" i="7" s="1"/>
  <c r="T219" i="7"/>
  <c r="T218" i="7" s="1"/>
  <c r="S219" i="7"/>
  <c r="S218" i="7" s="1"/>
  <c r="R219" i="7"/>
  <c r="P219" i="7"/>
  <c r="P218" i="7" s="1"/>
  <c r="O219" i="7"/>
  <c r="O218" i="7" s="1"/>
  <c r="N219" i="7"/>
  <c r="N218" i="7" s="1"/>
  <c r="M219" i="7"/>
  <c r="M218" i="7" s="1"/>
  <c r="K219" i="7"/>
  <c r="K218" i="7" s="1"/>
  <c r="J219" i="7"/>
  <c r="I219" i="7"/>
  <c r="I218" i="7" s="1"/>
  <c r="H219" i="7"/>
  <c r="H218" i="7" s="1"/>
  <c r="G219" i="7"/>
  <c r="G218" i="7" s="1"/>
  <c r="F219" i="7"/>
  <c r="F218" i="7" s="1"/>
  <c r="E219" i="7"/>
  <c r="E218" i="7" s="1"/>
  <c r="D219" i="7"/>
  <c r="D218" i="7" s="1"/>
  <c r="Y218" i="7"/>
  <c r="J218" i="7"/>
  <c r="U217" i="7"/>
  <c r="P217" i="7"/>
  <c r="J217" i="7"/>
  <c r="L217" i="7" s="1"/>
  <c r="U216" i="7"/>
  <c r="P216" i="7"/>
  <c r="L216" i="7"/>
  <c r="U215" i="7"/>
  <c r="P215" i="7"/>
  <c r="L215" i="7"/>
  <c r="U214" i="7"/>
  <c r="P214" i="7"/>
  <c r="L214" i="7"/>
  <c r="Y213" i="7"/>
  <c r="X213" i="7"/>
  <c r="W213" i="7"/>
  <c r="T213" i="7"/>
  <c r="S213" i="7"/>
  <c r="R213" i="7"/>
  <c r="O213" i="7"/>
  <c r="N213" i="7"/>
  <c r="M213" i="7"/>
  <c r="K213" i="7"/>
  <c r="J213" i="7"/>
  <c r="I213" i="7"/>
  <c r="H213" i="7"/>
  <c r="G213" i="7"/>
  <c r="F213" i="7"/>
  <c r="E213" i="7"/>
  <c r="D213" i="7"/>
  <c r="U211" i="7"/>
  <c r="P211" i="7"/>
  <c r="L211" i="7"/>
  <c r="Y210" i="7"/>
  <c r="X210" i="7"/>
  <c r="W210" i="7"/>
  <c r="T210" i="7"/>
  <c r="S210" i="7"/>
  <c r="R210" i="7"/>
  <c r="O210" i="7"/>
  <c r="N210" i="7"/>
  <c r="M210" i="7"/>
  <c r="L210" i="7"/>
  <c r="K210" i="7"/>
  <c r="J210" i="7"/>
  <c r="I210" i="7"/>
  <c r="H210" i="7"/>
  <c r="G210" i="7"/>
  <c r="F210" i="7"/>
  <c r="E210" i="7"/>
  <c r="D210" i="7"/>
  <c r="Y209" i="7"/>
  <c r="X209" i="7"/>
  <c r="W209" i="7"/>
  <c r="T209" i="7"/>
  <c r="S209" i="7"/>
  <c r="R209" i="7"/>
  <c r="O209" i="7"/>
  <c r="N209" i="7"/>
  <c r="M209" i="7"/>
  <c r="L209" i="7"/>
  <c r="K209" i="7"/>
  <c r="J209" i="7"/>
  <c r="I209" i="7"/>
  <c r="H209" i="7"/>
  <c r="G209" i="7"/>
  <c r="F209" i="7"/>
  <c r="E209" i="7"/>
  <c r="D209" i="7"/>
  <c r="U208" i="7"/>
  <c r="P208" i="7"/>
  <c r="L208" i="7"/>
  <c r="L207" i="7" s="1"/>
  <c r="Y207" i="7"/>
  <c r="X207" i="7"/>
  <c r="W207" i="7"/>
  <c r="T207" i="7"/>
  <c r="S207" i="7"/>
  <c r="R207" i="7"/>
  <c r="P207" i="7"/>
  <c r="O207" i="7"/>
  <c r="N207" i="7"/>
  <c r="M207" i="7"/>
  <c r="K207" i="7"/>
  <c r="J207" i="7"/>
  <c r="I207" i="7"/>
  <c r="H207" i="7"/>
  <c r="G207" i="7"/>
  <c r="F207" i="7"/>
  <c r="E207" i="7"/>
  <c r="D207" i="7"/>
  <c r="U206" i="7"/>
  <c r="P206" i="7"/>
  <c r="L206" i="7"/>
  <c r="U205" i="7"/>
  <c r="P205" i="7"/>
  <c r="L205" i="7"/>
  <c r="U204" i="7"/>
  <c r="P204" i="7"/>
  <c r="L204" i="7"/>
  <c r="U203" i="7"/>
  <c r="P203" i="7"/>
  <c r="L203" i="7"/>
  <c r="U202" i="7"/>
  <c r="P202" i="7"/>
  <c r="L202" i="7"/>
  <c r="U201" i="7"/>
  <c r="P201" i="7"/>
  <c r="U200" i="7"/>
  <c r="P200" i="7"/>
  <c r="U199" i="7"/>
  <c r="P199" i="7"/>
  <c r="Y198" i="7"/>
  <c r="Y197" i="7" s="1"/>
  <c r="X198" i="7"/>
  <c r="W198" i="7"/>
  <c r="W197" i="7" s="1"/>
  <c r="T198" i="7"/>
  <c r="T197" i="7" s="1"/>
  <c r="S198" i="7"/>
  <c r="R198" i="7"/>
  <c r="R197" i="7" s="1"/>
  <c r="O198" i="7"/>
  <c r="O197" i="7" s="1"/>
  <c r="N198" i="7"/>
  <c r="N197" i="7" s="1"/>
  <c r="M198" i="7"/>
  <c r="M197" i="7" s="1"/>
  <c r="K198" i="7"/>
  <c r="K197" i="7" s="1"/>
  <c r="J198" i="7"/>
  <c r="J197" i="7" s="1"/>
  <c r="I198" i="7"/>
  <c r="I197" i="7" s="1"/>
  <c r="H198" i="7"/>
  <c r="G198" i="7"/>
  <c r="G197" i="7" s="1"/>
  <c r="F198" i="7"/>
  <c r="E198" i="7"/>
  <c r="E197" i="7" s="1"/>
  <c r="D198" i="7"/>
  <c r="X197" i="7"/>
  <c r="U196" i="7"/>
  <c r="P196" i="7"/>
  <c r="L196" i="7"/>
  <c r="L195" i="7" s="1"/>
  <c r="Y195" i="7"/>
  <c r="X195" i="7"/>
  <c r="W195" i="7"/>
  <c r="T195" i="7"/>
  <c r="S195" i="7"/>
  <c r="R195" i="7"/>
  <c r="P195" i="7"/>
  <c r="O195" i="7"/>
  <c r="N195" i="7"/>
  <c r="M195" i="7"/>
  <c r="K195" i="7"/>
  <c r="J195" i="7"/>
  <c r="I195" i="7"/>
  <c r="H195" i="7"/>
  <c r="G195" i="7"/>
  <c r="F195" i="7"/>
  <c r="E195" i="7"/>
  <c r="D195" i="7"/>
  <c r="U194" i="7"/>
  <c r="Y193" i="7"/>
  <c r="X193" i="7"/>
  <c r="W193" i="7"/>
  <c r="T193" i="7"/>
  <c r="S193" i="7"/>
  <c r="R193" i="7"/>
  <c r="Q193" i="7"/>
  <c r="P193" i="7"/>
  <c r="O193" i="7"/>
  <c r="N193" i="7"/>
  <c r="M193" i="7"/>
  <c r="L193" i="7"/>
  <c r="K193" i="7"/>
  <c r="J193" i="7"/>
  <c r="I193" i="7"/>
  <c r="H193" i="7"/>
  <c r="U191" i="7"/>
  <c r="U190" i="7" s="1"/>
  <c r="P191" i="7"/>
  <c r="L191" i="7"/>
  <c r="G190" i="7"/>
  <c r="F190" i="7"/>
  <c r="E190" i="7"/>
  <c r="D190" i="7"/>
  <c r="U188" i="7"/>
  <c r="P188" i="7"/>
  <c r="L188" i="7"/>
  <c r="G188" i="7"/>
  <c r="G183" i="7" s="1"/>
  <c r="U187" i="7"/>
  <c r="P187" i="7"/>
  <c r="L187" i="7"/>
  <c r="U186" i="7"/>
  <c r="P186" i="7"/>
  <c r="L186" i="7"/>
  <c r="U185" i="7"/>
  <c r="P185" i="7"/>
  <c r="L185" i="7"/>
  <c r="U184" i="7"/>
  <c r="P184" i="7"/>
  <c r="L184" i="7"/>
  <c r="N183" i="7"/>
  <c r="J183" i="7"/>
  <c r="I183" i="7"/>
  <c r="H183" i="7"/>
  <c r="F183" i="7"/>
  <c r="E183" i="7"/>
  <c r="D183" i="7"/>
  <c r="U182" i="7"/>
  <c r="P182" i="7"/>
  <c r="L182" i="7"/>
  <c r="U181" i="7"/>
  <c r="P181" i="7"/>
  <c r="L181" i="7"/>
  <c r="U180" i="7"/>
  <c r="P180" i="7"/>
  <c r="L180" i="7"/>
  <c r="U179" i="7"/>
  <c r="P179" i="7"/>
  <c r="L179" i="7"/>
  <c r="Y178" i="7"/>
  <c r="X178" i="7"/>
  <c r="W178" i="7"/>
  <c r="T178" i="7"/>
  <c r="S178" i="7"/>
  <c r="R178" i="7"/>
  <c r="O178" i="7"/>
  <c r="N178" i="7"/>
  <c r="N177" i="7" s="1"/>
  <c r="M178" i="7"/>
  <c r="K178" i="7"/>
  <c r="J178" i="7"/>
  <c r="I178" i="7"/>
  <c r="H178" i="7"/>
  <c r="H177" i="7" s="1"/>
  <c r="G178" i="7"/>
  <c r="F178" i="7"/>
  <c r="E178" i="7"/>
  <c r="D178" i="7"/>
  <c r="U176" i="7"/>
  <c r="P176" i="7"/>
  <c r="L176" i="7"/>
  <c r="Y175" i="7"/>
  <c r="X175" i="7"/>
  <c r="W175" i="7"/>
  <c r="T175" i="7"/>
  <c r="S175" i="7"/>
  <c r="R175" i="7"/>
  <c r="O175" i="7"/>
  <c r="N175" i="7"/>
  <c r="M175" i="7"/>
  <c r="L175" i="7"/>
  <c r="K175" i="7"/>
  <c r="J175" i="7"/>
  <c r="I175" i="7"/>
  <c r="H175" i="7"/>
  <c r="G175" i="7"/>
  <c r="F175" i="7"/>
  <c r="E175" i="7"/>
  <c r="D175" i="7"/>
  <c r="U174" i="7"/>
  <c r="N174" i="7"/>
  <c r="N172" i="7" s="1"/>
  <c r="M174" i="7"/>
  <c r="K174" i="7"/>
  <c r="J174" i="7"/>
  <c r="I174" i="7"/>
  <c r="I172" i="7" s="1"/>
  <c r="U173" i="7"/>
  <c r="P173" i="7"/>
  <c r="L173" i="7"/>
  <c r="Y172" i="7"/>
  <c r="X172" i="7"/>
  <c r="W172" i="7"/>
  <c r="T172" i="7"/>
  <c r="S172" i="7"/>
  <c r="R172" i="7"/>
  <c r="O172" i="7"/>
  <c r="K172" i="7"/>
  <c r="H172" i="7"/>
  <c r="G172" i="7"/>
  <c r="F172" i="7"/>
  <c r="E172" i="7"/>
  <c r="D172" i="7"/>
  <c r="U171" i="7"/>
  <c r="N171" i="7"/>
  <c r="N169" i="7" s="1"/>
  <c r="M171" i="7"/>
  <c r="K171" i="7"/>
  <c r="K169" i="7" s="1"/>
  <c r="J171" i="7"/>
  <c r="U170" i="7"/>
  <c r="P170" i="7"/>
  <c r="L170" i="7"/>
  <c r="Y169" i="7"/>
  <c r="X169" i="7"/>
  <c r="W169" i="7"/>
  <c r="T169" i="7"/>
  <c r="S169" i="7"/>
  <c r="R169" i="7"/>
  <c r="O169" i="7"/>
  <c r="I169" i="7"/>
  <c r="H169" i="7"/>
  <c r="G169" i="7"/>
  <c r="F169" i="7"/>
  <c r="E169" i="7"/>
  <c r="D169" i="7"/>
  <c r="U168" i="7"/>
  <c r="P168" i="7"/>
  <c r="P167" i="7" s="1"/>
  <c r="L168" i="7"/>
  <c r="Y167" i="7"/>
  <c r="X167" i="7"/>
  <c r="W167" i="7"/>
  <c r="T167" i="7"/>
  <c r="S167" i="7"/>
  <c r="R167" i="7"/>
  <c r="O167" i="7"/>
  <c r="N167" i="7"/>
  <c r="M167" i="7"/>
  <c r="L167" i="7"/>
  <c r="K167" i="7"/>
  <c r="J167" i="7"/>
  <c r="I167" i="7"/>
  <c r="H167" i="7"/>
  <c r="G167" i="7"/>
  <c r="F167" i="7"/>
  <c r="E167" i="7"/>
  <c r="D167" i="7"/>
  <c r="U166" i="7"/>
  <c r="V166" i="7" s="1"/>
  <c r="Y165" i="7"/>
  <c r="X165" i="7"/>
  <c r="W165" i="7"/>
  <c r="T165" i="7"/>
  <c r="S165" i="7"/>
  <c r="R165" i="7"/>
  <c r="Q165" i="7"/>
  <c r="P165" i="7"/>
  <c r="O165" i="7"/>
  <c r="N165" i="7"/>
  <c r="M165" i="7"/>
  <c r="L165" i="7"/>
  <c r="K165" i="7"/>
  <c r="J165" i="7"/>
  <c r="I165" i="7"/>
  <c r="H165" i="7"/>
  <c r="U164" i="7"/>
  <c r="P164" i="7"/>
  <c r="L164" i="7"/>
  <c r="U163" i="7"/>
  <c r="P163" i="7"/>
  <c r="L163" i="7"/>
  <c r="Y162" i="7"/>
  <c r="X162" i="7"/>
  <c r="W162" i="7"/>
  <c r="T162" i="7"/>
  <c r="S162" i="7"/>
  <c r="R162" i="7"/>
  <c r="O162" i="7"/>
  <c r="N162" i="7"/>
  <c r="M162" i="7"/>
  <c r="K162" i="7"/>
  <c r="J162" i="7"/>
  <c r="I162" i="7"/>
  <c r="H162" i="7"/>
  <c r="G162" i="7"/>
  <c r="F162" i="7"/>
  <c r="E162" i="7"/>
  <c r="D162" i="7"/>
  <c r="U161" i="7"/>
  <c r="P161" i="7"/>
  <c r="P160" i="7" s="1"/>
  <c r="L161" i="7"/>
  <c r="L160" i="7" s="1"/>
  <c r="Y160" i="7"/>
  <c r="X160" i="7"/>
  <c r="W160" i="7"/>
  <c r="T160" i="7"/>
  <c r="S160" i="7"/>
  <c r="R160" i="7"/>
  <c r="O160" i="7"/>
  <c r="N160" i="7"/>
  <c r="M160" i="7"/>
  <c r="K160" i="7"/>
  <c r="J160" i="7"/>
  <c r="I160" i="7"/>
  <c r="H160" i="7"/>
  <c r="G160" i="7"/>
  <c r="F160" i="7"/>
  <c r="E160" i="7"/>
  <c r="D160" i="7"/>
  <c r="U159" i="7"/>
  <c r="P159" i="7"/>
  <c r="P158" i="7" s="1"/>
  <c r="L159" i="7"/>
  <c r="Y158" i="7"/>
  <c r="X158" i="7"/>
  <c r="W158" i="7"/>
  <c r="T158" i="7"/>
  <c r="S158" i="7"/>
  <c r="R158" i="7"/>
  <c r="O158" i="7"/>
  <c r="N158" i="7"/>
  <c r="M158" i="7"/>
  <c r="L158" i="7"/>
  <c r="K158" i="7"/>
  <c r="J158" i="7"/>
  <c r="I158" i="7"/>
  <c r="H158" i="7"/>
  <c r="G158" i="7"/>
  <c r="F158" i="7"/>
  <c r="E158" i="7"/>
  <c r="D158" i="7"/>
  <c r="U157" i="7"/>
  <c r="P157" i="7"/>
  <c r="L157" i="7"/>
  <c r="L156" i="7" s="1"/>
  <c r="Y156" i="7"/>
  <c r="X156" i="7"/>
  <c r="W156" i="7"/>
  <c r="T156" i="7"/>
  <c r="S156" i="7"/>
  <c r="R156" i="7"/>
  <c r="P156" i="7"/>
  <c r="O156" i="7"/>
  <c r="N156" i="7"/>
  <c r="M156" i="7"/>
  <c r="K156" i="7"/>
  <c r="J156" i="7"/>
  <c r="I156" i="7"/>
  <c r="H156" i="7"/>
  <c r="G156" i="7"/>
  <c r="F156" i="7"/>
  <c r="E156" i="7"/>
  <c r="D156" i="7"/>
  <c r="U153" i="7"/>
  <c r="Y152" i="7"/>
  <c r="X152" i="7"/>
  <c r="W152" i="7"/>
  <c r="T152" i="7"/>
  <c r="S152" i="7"/>
  <c r="R152" i="7"/>
  <c r="Q152" i="7"/>
  <c r="P152" i="7"/>
  <c r="O152" i="7"/>
  <c r="N152" i="7"/>
  <c r="M152" i="7"/>
  <c r="L152" i="7"/>
  <c r="K152" i="7"/>
  <c r="J152" i="7"/>
  <c r="I152" i="7"/>
  <c r="H152" i="7"/>
  <c r="R151" i="7"/>
  <c r="U151" i="7" s="1"/>
  <c r="O151" i="7"/>
  <c r="P151" i="7" s="1"/>
  <c r="P150" i="7" s="1"/>
  <c r="J151" i="7"/>
  <c r="J150" i="7" s="1"/>
  <c r="I151" i="7"/>
  <c r="Y150" i="7"/>
  <c r="X150" i="7"/>
  <c r="W150" i="7"/>
  <c r="T150" i="7"/>
  <c r="S150" i="7"/>
  <c r="O150" i="7"/>
  <c r="N150" i="7"/>
  <c r="M150" i="7"/>
  <c r="K150" i="7"/>
  <c r="I150" i="7"/>
  <c r="H150" i="7"/>
  <c r="G150" i="7"/>
  <c r="F150" i="7"/>
  <c r="E150" i="7"/>
  <c r="D150" i="7"/>
  <c r="S149" i="7"/>
  <c r="N149" i="7"/>
  <c r="N147" i="7" s="1"/>
  <c r="M149" i="7"/>
  <c r="M147" i="7" s="1"/>
  <c r="K149" i="7"/>
  <c r="K147" i="7" s="1"/>
  <c r="J149" i="7"/>
  <c r="U148" i="7"/>
  <c r="P148" i="7"/>
  <c r="L148" i="7"/>
  <c r="Y147" i="7"/>
  <c r="X147" i="7"/>
  <c r="W147" i="7"/>
  <c r="T147" i="7"/>
  <c r="R147" i="7"/>
  <c r="O147" i="7"/>
  <c r="I147" i="7"/>
  <c r="H147" i="7"/>
  <c r="G147" i="7"/>
  <c r="F147" i="7"/>
  <c r="E147" i="7"/>
  <c r="D147" i="7"/>
  <c r="U146" i="7"/>
  <c r="N146" i="7"/>
  <c r="M146" i="7"/>
  <c r="M144" i="7" s="1"/>
  <c r="K146" i="7"/>
  <c r="U145" i="7"/>
  <c r="T145" i="7"/>
  <c r="P145" i="7"/>
  <c r="L145" i="7"/>
  <c r="Y144" i="7"/>
  <c r="X144" i="7"/>
  <c r="W144" i="7"/>
  <c r="T144" i="7"/>
  <c r="S144" i="7"/>
  <c r="R144" i="7"/>
  <c r="O144" i="7"/>
  <c r="N144" i="7"/>
  <c r="J144" i="7"/>
  <c r="I144" i="7"/>
  <c r="H144" i="7"/>
  <c r="G144" i="7"/>
  <c r="F144" i="7"/>
  <c r="E144" i="7"/>
  <c r="D144" i="7"/>
  <c r="U143" i="7"/>
  <c r="N143" i="7"/>
  <c r="M143" i="7"/>
  <c r="M141" i="7" s="1"/>
  <c r="J143" i="7"/>
  <c r="I143" i="7"/>
  <c r="U142" i="7"/>
  <c r="P142" i="7"/>
  <c r="L142" i="7"/>
  <c r="Y141" i="7"/>
  <c r="X141" i="7"/>
  <c r="W141" i="7"/>
  <c r="T141" i="7"/>
  <c r="S141" i="7"/>
  <c r="R141" i="7"/>
  <c r="O141" i="7"/>
  <c r="N141" i="7"/>
  <c r="K141" i="7"/>
  <c r="J141" i="7"/>
  <c r="I141" i="7"/>
  <c r="G141" i="7"/>
  <c r="F141" i="7"/>
  <c r="E141" i="7"/>
  <c r="D141" i="7"/>
  <c r="U138" i="7"/>
  <c r="P138" i="7"/>
  <c r="P137" i="7" s="1"/>
  <c r="L138" i="7"/>
  <c r="Y137" i="7"/>
  <c r="X137" i="7"/>
  <c r="W137" i="7"/>
  <c r="T137" i="7"/>
  <c r="S137" i="7"/>
  <c r="R137" i="7"/>
  <c r="O137" i="7"/>
  <c r="N137" i="7"/>
  <c r="M137" i="7"/>
  <c r="L137" i="7"/>
  <c r="K137" i="7"/>
  <c r="J137" i="7"/>
  <c r="I137" i="7"/>
  <c r="H137" i="7"/>
  <c r="G137" i="7"/>
  <c r="F137" i="7"/>
  <c r="E137" i="7"/>
  <c r="D137" i="7"/>
  <c r="U136" i="7"/>
  <c r="P136" i="7"/>
  <c r="L136" i="7"/>
  <c r="Y135" i="7"/>
  <c r="X135" i="7"/>
  <c r="W135" i="7"/>
  <c r="T135" i="7"/>
  <c r="S135" i="7"/>
  <c r="R135" i="7"/>
  <c r="P135" i="7"/>
  <c r="O135" i="7"/>
  <c r="N135" i="7"/>
  <c r="M135" i="7"/>
  <c r="K135" i="7"/>
  <c r="J135" i="7"/>
  <c r="I135" i="7"/>
  <c r="H135" i="7"/>
  <c r="G135" i="7"/>
  <c r="F135" i="7"/>
  <c r="E135" i="7"/>
  <c r="D135" i="7"/>
  <c r="N134" i="7"/>
  <c r="U131" i="7"/>
  <c r="P131" i="7"/>
  <c r="L131" i="7"/>
  <c r="Y130" i="7"/>
  <c r="Y129" i="7" s="1"/>
  <c r="X130" i="7"/>
  <c r="X129" i="7" s="1"/>
  <c r="W130" i="7"/>
  <c r="W129" i="7" s="1"/>
  <c r="T130" i="7"/>
  <c r="T129" i="7" s="1"/>
  <c r="S130" i="7"/>
  <c r="S129" i="7" s="1"/>
  <c r="R130" i="7"/>
  <c r="R129" i="7" s="1"/>
  <c r="P130" i="7"/>
  <c r="P129" i="7" s="1"/>
  <c r="O130" i="7"/>
  <c r="O129" i="7" s="1"/>
  <c r="N130" i="7"/>
  <c r="N129" i="7" s="1"/>
  <c r="M130" i="7"/>
  <c r="M129" i="7" s="1"/>
  <c r="K130" i="7"/>
  <c r="K129" i="7" s="1"/>
  <c r="J130" i="7"/>
  <c r="J129" i="7" s="1"/>
  <c r="I130" i="7"/>
  <c r="I129" i="7" s="1"/>
  <c r="H130" i="7"/>
  <c r="H129" i="7" s="1"/>
  <c r="G130" i="7"/>
  <c r="G129" i="7" s="1"/>
  <c r="F130" i="7"/>
  <c r="F129" i="7" s="1"/>
  <c r="E130" i="7"/>
  <c r="E129" i="7" s="1"/>
  <c r="D130" i="7"/>
  <c r="D129" i="7" s="1"/>
  <c r="U127" i="7"/>
  <c r="P127" i="7"/>
  <c r="L127" i="7"/>
  <c r="U126" i="7"/>
  <c r="P126" i="7"/>
  <c r="L126" i="7"/>
  <c r="H120" i="7"/>
  <c r="H119" i="7" s="1"/>
  <c r="H118" i="7" s="1"/>
  <c r="G126" i="7"/>
  <c r="U125" i="7"/>
  <c r="P125" i="7"/>
  <c r="L125" i="7"/>
  <c r="U124" i="7"/>
  <c r="P124" i="7"/>
  <c r="L124" i="7"/>
  <c r="U123" i="7"/>
  <c r="P123" i="7"/>
  <c r="L123" i="7"/>
  <c r="U122" i="7"/>
  <c r="P122" i="7"/>
  <c r="L122" i="7"/>
  <c r="U121" i="7"/>
  <c r="P121" i="7"/>
  <c r="L121" i="7"/>
  <c r="Y120" i="7"/>
  <c r="Y119" i="7" s="1"/>
  <c r="Y118" i="7" s="1"/>
  <c r="X120" i="7"/>
  <c r="X119" i="7" s="1"/>
  <c r="X118" i="7" s="1"/>
  <c r="W120" i="7"/>
  <c r="W119" i="7" s="1"/>
  <c r="W118" i="7" s="1"/>
  <c r="T120" i="7"/>
  <c r="T119" i="7" s="1"/>
  <c r="T118" i="7" s="1"/>
  <c r="S120" i="7"/>
  <c r="R120" i="7"/>
  <c r="R119" i="7" s="1"/>
  <c r="R118" i="7" s="1"/>
  <c r="O120" i="7"/>
  <c r="O119" i="7" s="1"/>
  <c r="O118" i="7" s="1"/>
  <c r="N120" i="7"/>
  <c r="N119" i="7" s="1"/>
  <c r="N118" i="7" s="1"/>
  <c r="M120" i="7"/>
  <c r="M119" i="7" s="1"/>
  <c r="M118" i="7" s="1"/>
  <c r="K120" i="7"/>
  <c r="K119" i="7" s="1"/>
  <c r="K118" i="7" s="1"/>
  <c r="J120" i="7"/>
  <c r="J119" i="7" s="1"/>
  <c r="J118" i="7" s="1"/>
  <c r="I120" i="7"/>
  <c r="I119" i="7" s="1"/>
  <c r="I118" i="7" s="1"/>
  <c r="G120" i="7"/>
  <c r="G119" i="7" s="1"/>
  <c r="G118" i="7" s="1"/>
  <c r="F120" i="7"/>
  <c r="F119" i="7" s="1"/>
  <c r="F118" i="7" s="1"/>
  <c r="E120" i="7"/>
  <c r="E119" i="7" s="1"/>
  <c r="E118" i="7" s="1"/>
  <c r="D120" i="7"/>
  <c r="D119" i="7" s="1"/>
  <c r="D118" i="7" s="1"/>
  <c r="S119" i="7"/>
  <c r="S118" i="7" s="1"/>
  <c r="U117" i="7"/>
  <c r="P117" i="7"/>
  <c r="L117" i="7"/>
  <c r="L116" i="7" s="1"/>
  <c r="L115" i="7" s="1"/>
  <c r="L114" i="7" s="1"/>
  <c r="Y116" i="7"/>
  <c r="Y115" i="7" s="1"/>
  <c r="Y114" i="7" s="1"/>
  <c r="X116" i="7"/>
  <c r="X115" i="7" s="1"/>
  <c r="X114" i="7" s="1"/>
  <c r="X113" i="7" s="1"/>
  <c r="W116" i="7"/>
  <c r="W115" i="7" s="1"/>
  <c r="W114" i="7" s="1"/>
  <c r="T116" i="7"/>
  <c r="T115" i="7" s="1"/>
  <c r="T114" i="7" s="1"/>
  <c r="S116" i="7"/>
  <c r="S115" i="7" s="1"/>
  <c r="S114" i="7" s="1"/>
  <c r="R116" i="7"/>
  <c r="R115" i="7" s="1"/>
  <c r="R114" i="7" s="1"/>
  <c r="P116" i="7"/>
  <c r="P115" i="7" s="1"/>
  <c r="P114" i="7" s="1"/>
  <c r="O116" i="7"/>
  <c r="O115" i="7" s="1"/>
  <c r="O114" i="7" s="1"/>
  <c r="N116" i="7"/>
  <c r="N115" i="7" s="1"/>
  <c r="N114" i="7" s="1"/>
  <c r="M116" i="7"/>
  <c r="M115" i="7" s="1"/>
  <c r="M114" i="7" s="1"/>
  <c r="K116" i="7"/>
  <c r="K115" i="7" s="1"/>
  <c r="K114" i="7" s="1"/>
  <c r="J116" i="7"/>
  <c r="J115" i="7" s="1"/>
  <c r="J114" i="7" s="1"/>
  <c r="I116" i="7"/>
  <c r="I115" i="7" s="1"/>
  <c r="I114" i="7" s="1"/>
  <c r="H116" i="7"/>
  <c r="H115" i="7" s="1"/>
  <c r="H114" i="7" s="1"/>
  <c r="G116" i="7"/>
  <c r="G115" i="7" s="1"/>
  <c r="G114" i="7" s="1"/>
  <c r="F116" i="7"/>
  <c r="F115" i="7" s="1"/>
  <c r="F114" i="7" s="1"/>
  <c r="E116" i="7"/>
  <c r="E115" i="7" s="1"/>
  <c r="E114" i="7" s="1"/>
  <c r="D116" i="7"/>
  <c r="D115" i="7" s="1"/>
  <c r="D114" i="7" s="1"/>
  <c r="U112" i="7"/>
  <c r="P112" i="7"/>
  <c r="L112" i="7"/>
  <c r="Y111" i="7"/>
  <c r="X111" i="7"/>
  <c r="W111" i="7"/>
  <c r="T111" i="7"/>
  <c r="S111" i="7"/>
  <c r="R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Y110" i="7"/>
  <c r="X110" i="7"/>
  <c r="W110" i="7"/>
  <c r="T110" i="7"/>
  <c r="S110" i="7"/>
  <c r="R110" i="7"/>
  <c r="O110" i="7"/>
  <c r="N110" i="7"/>
  <c r="M110" i="7"/>
  <c r="L110" i="7"/>
  <c r="K110" i="7"/>
  <c r="J110" i="7"/>
  <c r="I110" i="7"/>
  <c r="H110" i="7"/>
  <c r="G110" i="7"/>
  <c r="F110" i="7"/>
  <c r="E110" i="7"/>
  <c r="D110" i="7"/>
  <c r="U109" i="7"/>
  <c r="P109" i="7"/>
  <c r="L109" i="7"/>
  <c r="U108" i="7"/>
  <c r="P108" i="7"/>
  <c r="L108" i="7"/>
  <c r="G108" i="7"/>
  <c r="U107" i="7"/>
  <c r="P107" i="7"/>
  <c r="L107" i="7"/>
  <c r="H106" i="7"/>
  <c r="H103" i="7" s="1"/>
  <c r="G107" i="7"/>
  <c r="Y106" i="7"/>
  <c r="Y103" i="7" s="1"/>
  <c r="Y102" i="7" s="1"/>
  <c r="X106" i="7"/>
  <c r="X103" i="7" s="1"/>
  <c r="X102" i="7" s="1"/>
  <c r="W106" i="7"/>
  <c r="T106" i="7"/>
  <c r="T103" i="7" s="1"/>
  <c r="T102" i="7" s="1"/>
  <c r="S106" i="7"/>
  <c r="S103" i="7" s="1"/>
  <c r="S102" i="7" s="1"/>
  <c r="R106" i="7"/>
  <c r="R103" i="7" s="1"/>
  <c r="R102" i="7" s="1"/>
  <c r="O106" i="7"/>
  <c r="O103" i="7" s="1"/>
  <c r="O102" i="7" s="1"/>
  <c r="N106" i="7"/>
  <c r="N103" i="7" s="1"/>
  <c r="N102" i="7" s="1"/>
  <c r="M106" i="7"/>
  <c r="M103" i="7" s="1"/>
  <c r="M102" i="7" s="1"/>
  <c r="K106" i="7"/>
  <c r="K103" i="7" s="1"/>
  <c r="J106" i="7"/>
  <c r="J103" i="7" s="1"/>
  <c r="I106" i="7"/>
  <c r="I103" i="7" s="1"/>
  <c r="G106" i="7"/>
  <c r="F106" i="7"/>
  <c r="F103" i="7" s="1"/>
  <c r="F102" i="7" s="1"/>
  <c r="E106" i="7"/>
  <c r="E103" i="7" s="1"/>
  <c r="E102" i="7" s="1"/>
  <c r="D106" i="7"/>
  <c r="D103" i="7" s="1"/>
  <c r="D102" i="7" s="1"/>
  <c r="U105" i="7"/>
  <c r="P105" i="7"/>
  <c r="L105" i="7"/>
  <c r="G105" i="7"/>
  <c r="U104" i="7"/>
  <c r="P104" i="7"/>
  <c r="L104" i="7"/>
  <c r="G104" i="7"/>
  <c r="W103" i="7"/>
  <c r="W102" i="7" s="1"/>
  <c r="U101" i="7"/>
  <c r="P101" i="7"/>
  <c r="L101" i="7"/>
  <c r="U100" i="7"/>
  <c r="P100" i="7"/>
  <c r="L100" i="7"/>
  <c r="Y99" i="7"/>
  <c r="X99" i="7"/>
  <c r="W99" i="7"/>
  <c r="T99" i="7"/>
  <c r="S99" i="7"/>
  <c r="R99" i="7"/>
  <c r="O99" i="7"/>
  <c r="N99" i="7"/>
  <c r="M99" i="7"/>
  <c r="K99" i="7"/>
  <c r="J99" i="7"/>
  <c r="I99" i="7"/>
  <c r="H99" i="7"/>
  <c r="G99" i="7"/>
  <c r="F99" i="7"/>
  <c r="E99" i="7"/>
  <c r="D99" i="7"/>
  <c r="U98" i="7"/>
  <c r="P98" i="7"/>
  <c r="L98" i="7"/>
  <c r="U97" i="7"/>
  <c r="P97" i="7"/>
  <c r="L97" i="7"/>
  <c r="Y96" i="7"/>
  <c r="X96" i="7"/>
  <c r="W96" i="7"/>
  <c r="T96" i="7"/>
  <c r="S96" i="7"/>
  <c r="R96" i="7"/>
  <c r="O96" i="7"/>
  <c r="N96" i="7"/>
  <c r="M96" i="7"/>
  <c r="K96" i="7"/>
  <c r="J96" i="7"/>
  <c r="I96" i="7"/>
  <c r="H96" i="7"/>
  <c r="G96" i="7"/>
  <c r="F96" i="7"/>
  <c r="E96" i="7"/>
  <c r="D96" i="7"/>
  <c r="U95" i="7"/>
  <c r="Z95" i="7" s="1"/>
  <c r="AB95" i="7" s="1"/>
  <c r="U94" i="7"/>
  <c r="P94" i="7"/>
  <c r="L94" i="7"/>
  <c r="U93" i="7"/>
  <c r="P93" i="7"/>
  <c r="L93" i="7"/>
  <c r="Y92" i="7"/>
  <c r="X92" i="7"/>
  <c r="W92" i="7"/>
  <c r="T92" i="7"/>
  <c r="S92" i="7"/>
  <c r="R92" i="7"/>
  <c r="O92" i="7"/>
  <c r="N92" i="7"/>
  <c r="M92" i="7"/>
  <c r="K92" i="7"/>
  <c r="J92" i="7"/>
  <c r="I92" i="7"/>
  <c r="H92" i="7"/>
  <c r="G92" i="7"/>
  <c r="F92" i="7"/>
  <c r="E92" i="7"/>
  <c r="D92" i="7"/>
  <c r="U90" i="7"/>
  <c r="P90" i="7"/>
  <c r="L90" i="7"/>
  <c r="U89" i="7"/>
  <c r="P89" i="7"/>
  <c r="L89" i="7"/>
  <c r="H88" i="7"/>
  <c r="H87" i="7" s="1"/>
  <c r="H86" i="7" s="1"/>
  <c r="G89" i="7"/>
  <c r="G88" i="7" s="1"/>
  <c r="G87" i="7" s="1"/>
  <c r="G86" i="7" s="1"/>
  <c r="Y88" i="7"/>
  <c r="Y87" i="7" s="1"/>
  <c r="Y86" i="7" s="1"/>
  <c r="X88" i="7"/>
  <c r="X87" i="7" s="1"/>
  <c r="X86" i="7" s="1"/>
  <c r="W88" i="7"/>
  <c r="W87" i="7" s="1"/>
  <c r="W86" i="7" s="1"/>
  <c r="T88" i="7"/>
  <c r="T87" i="7" s="1"/>
  <c r="T86" i="7" s="1"/>
  <c r="S88" i="7"/>
  <c r="R88" i="7"/>
  <c r="R87" i="7" s="1"/>
  <c r="R86" i="7" s="1"/>
  <c r="O88" i="7"/>
  <c r="N88" i="7"/>
  <c r="N87" i="7" s="1"/>
  <c r="N86" i="7" s="1"/>
  <c r="M88" i="7"/>
  <c r="K88" i="7"/>
  <c r="K87" i="7" s="1"/>
  <c r="K86" i="7" s="1"/>
  <c r="J88" i="7"/>
  <c r="I88" i="7"/>
  <c r="I87" i="7" s="1"/>
  <c r="I86" i="7" s="1"/>
  <c r="F88" i="7"/>
  <c r="F87" i="7" s="1"/>
  <c r="F86" i="7" s="1"/>
  <c r="E88" i="7"/>
  <c r="D88" i="7"/>
  <c r="D87" i="7" s="1"/>
  <c r="D86" i="7" s="1"/>
  <c r="S87" i="7"/>
  <c r="S86" i="7" s="1"/>
  <c r="O87" i="7"/>
  <c r="O86" i="7" s="1"/>
  <c r="M87" i="7"/>
  <c r="M86" i="7" s="1"/>
  <c r="J87" i="7"/>
  <c r="J86" i="7" s="1"/>
  <c r="E87" i="7"/>
  <c r="E86" i="7" s="1"/>
  <c r="U84" i="7"/>
  <c r="P84" i="7"/>
  <c r="L84" i="7"/>
  <c r="Y83" i="7"/>
  <c r="X83" i="7"/>
  <c r="X82" i="7" s="1"/>
  <c r="W83" i="7"/>
  <c r="W82" i="7" s="1"/>
  <c r="T83" i="7"/>
  <c r="T82" i="7" s="1"/>
  <c r="S83" i="7"/>
  <c r="S82" i="7" s="1"/>
  <c r="R83" i="7"/>
  <c r="P83" i="7"/>
  <c r="P82" i="7" s="1"/>
  <c r="O83" i="7"/>
  <c r="O82" i="7" s="1"/>
  <c r="N83" i="7"/>
  <c r="N82" i="7" s="1"/>
  <c r="M83" i="7"/>
  <c r="M82" i="7" s="1"/>
  <c r="K83" i="7"/>
  <c r="K82" i="7" s="1"/>
  <c r="J83" i="7"/>
  <c r="J82" i="7" s="1"/>
  <c r="I83" i="7"/>
  <c r="I82" i="7" s="1"/>
  <c r="H83" i="7"/>
  <c r="G83" i="7"/>
  <c r="G82" i="7" s="1"/>
  <c r="F83" i="7"/>
  <c r="F82" i="7" s="1"/>
  <c r="E83" i="7"/>
  <c r="E82" i="7" s="1"/>
  <c r="D83" i="7"/>
  <c r="D82" i="7" s="1"/>
  <c r="Y82" i="7"/>
  <c r="H82" i="7"/>
  <c r="U78" i="7"/>
  <c r="P78" i="7"/>
  <c r="L78" i="7"/>
  <c r="H77" i="7"/>
  <c r="H76" i="7" s="1"/>
  <c r="G78" i="7"/>
  <c r="Y77" i="7"/>
  <c r="Y76" i="7" s="1"/>
  <c r="X77" i="7"/>
  <c r="W77" i="7"/>
  <c r="W76" i="7" s="1"/>
  <c r="T77" i="7"/>
  <c r="T76" i="7" s="1"/>
  <c r="S77" i="7"/>
  <c r="R77" i="7"/>
  <c r="R76" i="7" s="1"/>
  <c r="O77" i="7"/>
  <c r="O76" i="7" s="1"/>
  <c r="N77" i="7"/>
  <c r="N76" i="7" s="1"/>
  <c r="M77" i="7"/>
  <c r="M76" i="7" s="1"/>
  <c r="L77" i="7"/>
  <c r="L76" i="7" s="1"/>
  <c r="K77" i="7"/>
  <c r="K76" i="7" s="1"/>
  <c r="J77" i="7"/>
  <c r="J76" i="7" s="1"/>
  <c r="I77" i="7"/>
  <c r="I76" i="7" s="1"/>
  <c r="G77" i="7"/>
  <c r="G76" i="7" s="1"/>
  <c r="F77" i="7"/>
  <c r="F76" i="7" s="1"/>
  <c r="E77" i="7"/>
  <c r="E76" i="7" s="1"/>
  <c r="D77" i="7"/>
  <c r="D76" i="7" s="1"/>
  <c r="X76" i="7"/>
  <c r="U75" i="7"/>
  <c r="P75" i="7"/>
  <c r="L75" i="7"/>
  <c r="Y74" i="7"/>
  <c r="X74" i="7"/>
  <c r="W74" i="7"/>
  <c r="T74" i="7"/>
  <c r="S74" i="7"/>
  <c r="R74" i="7"/>
  <c r="P74" i="7"/>
  <c r="O74" i="7"/>
  <c r="N74" i="7"/>
  <c r="M74" i="7"/>
  <c r="K74" i="7"/>
  <c r="J74" i="7"/>
  <c r="I74" i="7"/>
  <c r="G74" i="7"/>
  <c r="F74" i="7"/>
  <c r="E74" i="7"/>
  <c r="D74" i="7"/>
  <c r="U73" i="7"/>
  <c r="P73" i="7"/>
  <c r="L73" i="7"/>
  <c r="Y72" i="7"/>
  <c r="X72" i="7"/>
  <c r="W72" i="7"/>
  <c r="T72" i="7"/>
  <c r="S72" i="7"/>
  <c r="R72" i="7"/>
  <c r="O72" i="7"/>
  <c r="N72" i="7"/>
  <c r="M72" i="7"/>
  <c r="L72" i="7"/>
  <c r="K72" i="7"/>
  <c r="J72" i="7"/>
  <c r="I72" i="7"/>
  <c r="G72" i="7"/>
  <c r="F72" i="7"/>
  <c r="E72" i="7"/>
  <c r="D72" i="7"/>
  <c r="U71" i="7"/>
  <c r="P71" i="7"/>
  <c r="L71" i="7"/>
  <c r="L70" i="7" s="1"/>
  <c r="Y70" i="7"/>
  <c r="X70" i="7"/>
  <c r="W70" i="7"/>
  <c r="T70" i="7"/>
  <c r="S70" i="7"/>
  <c r="R70" i="7"/>
  <c r="P70" i="7"/>
  <c r="O70" i="7"/>
  <c r="N70" i="7"/>
  <c r="M70" i="7"/>
  <c r="K70" i="7"/>
  <c r="J70" i="7"/>
  <c r="I70" i="7"/>
  <c r="H70" i="7"/>
  <c r="H69" i="7" s="1"/>
  <c r="G70" i="7"/>
  <c r="F70" i="7"/>
  <c r="E70" i="7"/>
  <c r="D70" i="7"/>
  <c r="U67" i="7"/>
  <c r="P67" i="7"/>
  <c r="L67" i="7"/>
  <c r="Y66" i="7"/>
  <c r="X66" i="7"/>
  <c r="W66" i="7"/>
  <c r="T66" i="7"/>
  <c r="S66" i="7"/>
  <c r="R66" i="7"/>
  <c r="P66" i="7"/>
  <c r="O66" i="7"/>
  <c r="N66" i="7"/>
  <c r="M66" i="7"/>
  <c r="K66" i="7"/>
  <c r="J66" i="7"/>
  <c r="I66" i="7"/>
  <c r="H66" i="7"/>
  <c r="G66" i="7"/>
  <c r="F66" i="7"/>
  <c r="E66" i="7"/>
  <c r="D66" i="7"/>
  <c r="U65" i="7"/>
  <c r="P65" i="7"/>
  <c r="L65" i="7"/>
  <c r="L64" i="7" s="1"/>
  <c r="Y64" i="7"/>
  <c r="Y62" i="7" s="1"/>
  <c r="X64" i="7"/>
  <c r="X62" i="7" s="1"/>
  <c r="W64" i="7"/>
  <c r="W62" i="7" s="1"/>
  <c r="T64" i="7"/>
  <c r="T62" i="7" s="1"/>
  <c r="S64" i="7"/>
  <c r="S62" i="7" s="1"/>
  <c r="R64" i="7"/>
  <c r="P64" i="7"/>
  <c r="O64" i="7"/>
  <c r="O62" i="7" s="1"/>
  <c r="N64" i="7"/>
  <c r="N62" i="7" s="1"/>
  <c r="M64" i="7"/>
  <c r="K64" i="7"/>
  <c r="K62" i="7" s="1"/>
  <c r="J64" i="7"/>
  <c r="J62" i="7" s="1"/>
  <c r="I64" i="7"/>
  <c r="I62" i="7" s="1"/>
  <c r="H64" i="7"/>
  <c r="H62" i="7" s="1"/>
  <c r="G64" i="7"/>
  <c r="F64" i="7"/>
  <c r="E64" i="7"/>
  <c r="D64" i="7"/>
  <c r="U63" i="7"/>
  <c r="P63" i="7"/>
  <c r="L63" i="7"/>
  <c r="M62" i="7"/>
  <c r="G62" i="7"/>
  <c r="F62" i="7"/>
  <c r="E62" i="7"/>
  <c r="D62" i="7"/>
  <c r="U60" i="7"/>
  <c r="P60" i="7"/>
  <c r="L60" i="7"/>
  <c r="Y59" i="7"/>
  <c r="Y57" i="7" s="1"/>
  <c r="X59" i="7"/>
  <c r="W59" i="7"/>
  <c r="W57" i="7" s="1"/>
  <c r="T59" i="7"/>
  <c r="T57" i="7" s="1"/>
  <c r="S59" i="7"/>
  <c r="R59" i="7"/>
  <c r="R57" i="7" s="1"/>
  <c r="O59" i="7"/>
  <c r="O57" i="7" s="1"/>
  <c r="N59" i="7"/>
  <c r="N57" i="7" s="1"/>
  <c r="M59" i="7"/>
  <c r="M57" i="7" s="1"/>
  <c r="L59" i="7"/>
  <c r="K59" i="7"/>
  <c r="K57" i="7" s="1"/>
  <c r="J59" i="7"/>
  <c r="J57" i="7" s="1"/>
  <c r="I59" i="7"/>
  <c r="I57" i="7" s="1"/>
  <c r="H59" i="7"/>
  <c r="H57" i="7" s="1"/>
  <c r="G59" i="7"/>
  <c r="G57" i="7" s="1"/>
  <c r="F59" i="7"/>
  <c r="F57" i="7" s="1"/>
  <c r="E59" i="7"/>
  <c r="E57" i="7" s="1"/>
  <c r="D59" i="7"/>
  <c r="D57" i="7" s="1"/>
  <c r="U58" i="7"/>
  <c r="P58" i="7"/>
  <c r="L58" i="7"/>
  <c r="X57" i="7"/>
  <c r="U56" i="7"/>
  <c r="P56" i="7"/>
  <c r="L56" i="7"/>
  <c r="Y55" i="7"/>
  <c r="X55" i="7"/>
  <c r="W55" i="7"/>
  <c r="T55" i="7"/>
  <c r="S55" i="7"/>
  <c r="R55" i="7"/>
  <c r="O55" i="7"/>
  <c r="N55" i="7"/>
  <c r="M55" i="7"/>
  <c r="L55" i="7"/>
  <c r="K55" i="7"/>
  <c r="J55" i="7"/>
  <c r="I55" i="7"/>
  <c r="H55" i="7"/>
  <c r="G55" i="7"/>
  <c r="F55" i="7"/>
  <c r="E55" i="7"/>
  <c r="D55" i="7"/>
  <c r="U53" i="7"/>
  <c r="P53" i="7"/>
  <c r="L53" i="7"/>
  <c r="L52" i="7" s="1"/>
  <c r="Y52" i="7"/>
  <c r="X52" i="7"/>
  <c r="W52" i="7"/>
  <c r="T52" i="7"/>
  <c r="S52" i="7"/>
  <c r="R52" i="7"/>
  <c r="P52" i="7"/>
  <c r="O52" i="7"/>
  <c r="N52" i="7"/>
  <c r="M52" i="7"/>
  <c r="K52" i="7"/>
  <c r="J52" i="7"/>
  <c r="I52" i="7"/>
  <c r="H52" i="7"/>
  <c r="H49" i="7" s="1"/>
  <c r="G52" i="7"/>
  <c r="F52" i="7"/>
  <c r="E52" i="7"/>
  <c r="D52" i="7"/>
  <c r="U51" i="7"/>
  <c r="P51" i="7"/>
  <c r="P50" i="7" s="1"/>
  <c r="L51" i="7"/>
  <c r="L50" i="7" s="1"/>
  <c r="Y50" i="7"/>
  <c r="X50" i="7"/>
  <c r="W50" i="7"/>
  <c r="T50" i="7"/>
  <c r="G50" i="7"/>
  <c r="F50" i="7"/>
  <c r="E50" i="7"/>
  <c r="D50" i="7"/>
  <c r="U48" i="7"/>
  <c r="P48" i="7"/>
  <c r="P47" i="7" s="1"/>
  <c r="L48" i="7"/>
  <c r="Y47" i="7"/>
  <c r="X47" i="7"/>
  <c r="W47" i="7"/>
  <c r="T47" i="7"/>
  <c r="S47" i="7"/>
  <c r="R47" i="7"/>
  <c r="O47" i="7"/>
  <c r="N47" i="7"/>
  <c r="M47" i="7"/>
  <c r="L47" i="7"/>
  <c r="K47" i="7"/>
  <c r="J47" i="7"/>
  <c r="I47" i="7"/>
  <c r="H47" i="7"/>
  <c r="G47" i="7"/>
  <c r="F47" i="7"/>
  <c r="E47" i="7"/>
  <c r="D47" i="7"/>
  <c r="U45" i="7"/>
  <c r="P45" i="7"/>
  <c r="L45" i="7"/>
  <c r="Y44" i="7"/>
  <c r="X44" i="7"/>
  <c r="W44" i="7"/>
  <c r="T44" i="7"/>
  <c r="S44" i="7"/>
  <c r="R44" i="7"/>
  <c r="P44" i="7"/>
  <c r="O44" i="7"/>
  <c r="N44" i="7"/>
  <c r="M44" i="7"/>
  <c r="K44" i="7"/>
  <c r="J44" i="7"/>
  <c r="I44" i="7"/>
  <c r="H44" i="7"/>
  <c r="G44" i="7"/>
  <c r="F44" i="7"/>
  <c r="E44" i="7"/>
  <c r="D44" i="7"/>
  <c r="U43" i="7"/>
  <c r="P43" i="7"/>
  <c r="P42" i="7" s="1"/>
  <c r="L43" i="7"/>
  <c r="L42" i="7" s="1"/>
  <c r="Y42" i="7"/>
  <c r="X42" i="7"/>
  <c r="W42" i="7"/>
  <c r="T42" i="7"/>
  <c r="S42" i="7"/>
  <c r="R42" i="7"/>
  <c r="O42" i="7"/>
  <c r="N42" i="7"/>
  <c r="M42" i="7"/>
  <c r="K42" i="7"/>
  <c r="J42" i="7"/>
  <c r="I42" i="7"/>
  <c r="H42" i="7"/>
  <c r="G42" i="7"/>
  <c r="F42" i="7"/>
  <c r="E42" i="7"/>
  <c r="D42" i="7"/>
  <c r="U41" i="7"/>
  <c r="P41" i="7"/>
  <c r="L41" i="7"/>
  <c r="U40" i="7"/>
  <c r="P40" i="7"/>
  <c r="L40" i="7"/>
  <c r="Y39" i="7"/>
  <c r="X39" i="7"/>
  <c r="W39" i="7"/>
  <c r="T39" i="7"/>
  <c r="S39" i="7"/>
  <c r="R39" i="7"/>
  <c r="O39" i="7"/>
  <c r="N39" i="7"/>
  <c r="M39" i="7"/>
  <c r="K39" i="7"/>
  <c r="J39" i="7"/>
  <c r="I39" i="7"/>
  <c r="H39" i="7"/>
  <c r="G39" i="7"/>
  <c r="F39" i="7"/>
  <c r="E39" i="7"/>
  <c r="D39" i="7"/>
  <c r="U38" i="7"/>
  <c r="P38" i="7"/>
  <c r="L38" i="7"/>
  <c r="U36" i="7"/>
  <c r="P36" i="7"/>
  <c r="L36" i="7"/>
  <c r="U35" i="7"/>
  <c r="P35" i="7"/>
  <c r="L35" i="7"/>
  <c r="X34" i="7"/>
  <c r="W34" i="7"/>
  <c r="T34" i="7"/>
  <c r="S34" i="7"/>
  <c r="R34" i="7"/>
  <c r="O34" i="7"/>
  <c r="N34" i="7"/>
  <c r="M34" i="7"/>
  <c r="K34" i="7"/>
  <c r="J34" i="7"/>
  <c r="I34" i="7"/>
  <c r="G34" i="7"/>
  <c r="F34" i="7"/>
  <c r="E34" i="7"/>
  <c r="D34" i="7"/>
  <c r="U33" i="7"/>
  <c r="P33" i="7"/>
  <c r="L33" i="7"/>
  <c r="U32" i="7"/>
  <c r="P32" i="7"/>
  <c r="L32" i="7"/>
  <c r="Y31" i="7"/>
  <c r="X31" i="7"/>
  <c r="X30" i="7" s="1"/>
  <c r="W31" i="7"/>
  <c r="T31" i="7"/>
  <c r="T30" i="7" s="1"/>
  <c r="S31" i="7"/>
  <c r="R31" i="7"/>
  <c r="O31" i="7"/>
  <c r="N31" i="7"/>
  <c r="M31" i="7"/>
  <c r="K31" i="7"/>
  <c r="J31" i="7"/>
  <c r="J30" i="7" s="1"/>
  <c r="I31" i="7"/>
  <c r="G31" i="7"/>
  <c r="F31" i="7"/>
  <c r="E31" i="7"/>
  <c r="D31" i="7"/>
  <c r="R30" i="7"/>
  <c r="U28" i="7"/>
  <c r="P28" i="7"/>
  <c r="L28" i="7"/>
  <c r="L27" i="7" s="1"/>
  <c r="H28" i="7"/>
  <c r="H27" i="7" s="1"/>
  <c r="G28" i="7"/>
  <c r="F28" i="7"/>
  <c r="F27" i="7" s="1"/>
  <c r="E28" i="7"/>
  <c r="E27" i="7" s="1"/>
  <c r="D28" i="7"/>
  <c r="D27" i="7" s="1"/>
  <c r="Y27" i="7"/>
  <c r="X27" i="7"/>
  <c r="W27" i="7"/>
  <c r="T27" i="7"/>
  <c r="S27" i="7"/>
  <c r="R27" i="7"/>
  <c r="O27" i="7"/>
  <c r="N27" i="7"/>
  <c r="M27" i="7"/>
  <c r="K27" i="7"/>
  <c r="J27" i="7"/>
  <c r="I27" i="7"/>
  <c r="G27" i="7"/>
  <c r="U26" i="7"/>
  <c r="P26" i="7"/>
  <c r="P25" i="7" s="1"/>
  <c r="L26" i="7"/>
  <c r="L25" i="7" s="1"/>
  <c r="H26" i="7"/>
  <c r="H25" i="7" s="1"/>
  <c r="G26" i="7"/>
  <c r="F26" i="7"/>
  <c r="F25" i="7" s="1"/>
  <c r="E26" i="7"/>
  <c r="E25" i="7" s="1"/>
  <c r="D26" i="7"/>
  <c r="D25" i="7" s="1"/>
  <c r="Y25" i="7"/>
  <c r="X25" i="7"/>
  <c r="W25" i="7"/>
  <c r="T25" i="7"/>
  <c r="S25" i="7"/>
  <c r="R25" i="7"/>
  <c r="O25" i="7"/>
  <c r="N25" i="7"/>
  <c r="M25" i="7"/>
  <c r="K25" i="7"/>
  <c r="J25" i="7"/>
  <c r="I25" i="7"/>
  <c r="G25" i="7"/>
  <c r="U24" i="7"/>
  <c r="P24" i="7"/>
  <c r="P23" i="7" s="1"/>
  <c r="L24" i="7"/>
  <c r="L23" i="7" s="1"/>
  <c r="H24" i="7"/>
  <c r="H23" i="7" s="1"/>
  <c r="G24" i="7"/>
  <c r="F24" i="7"/>
  <c r="F23" i="7" s="1"/>
  <c r="E24" i="7"/>
  <c r="E23" i="7" s="1"/>
  <c r="D24" i="7"/>
  <c r="D23" i="7" s="1"/>
  <c r="Y23" i="7"/>
  <c r="X23" i="7"/>
  <c r="W23" i="7"/>
  <c r="T23" i="7"/>
  <c r="S23" i="7"/>
  <c r="R23" i="7"/>
  <c r="O23" i="7"/>
  <c r="N23" i="7"/>
  <c r="M23" i="7"/>
  <c r="K23" i="7"/>
  <c r="J23" i="7"/>
  <c r="I23" i="7"/>
  <c r="G23" i="7"/>
  <c r="U22" i="7"/>
  <c r="P22" i="7"/>
  <c r="P21" i="7" s="1"/>
  <c r="L22" i="7"/>
  <c r="L21" i="7" s="1"/>
  <c r="H22" i="7"/>
  <c r="H21" i="7" s="1"/>
  <c r="G22" i="7"/>
  <c r="F22" i="7"/>
  <c r="F21" i="7" s="1"/>
  <c r="E22" i="7"/>
  <c r="E21" i="7" s="1"/>
  <c r="D22" i="7"/>
  <c r="D21" i="7" s="1"/>
  <c r="Y21" i="7"/>
  <c r="X21" i="7"/>
  <c r="W21" i="7"/>
  <c r="T21" i="7"/>
  <c r="S21" i="7"/>
  <c r="R21" i="7"/>
  <c r="O21" i="7"/>
  <c r="N21" i="7"/>
  <c r="M21" i="7"/>
  <c r="K21" i="7"/>
  <c r="J21" i="7"/>
  <c r="I21" i="7"/>
  <c r="G21" i="7"/>
  <c r="U18" i="7"/>
  <c r="P18" i="7"/>
  <c r="L18" i="7"/>
  <c r="H13" i="7"/>
  <c r="H12" i="7" s="1"/>
  <c r="G18" i="7"/>
  <c r="G13" i="7" s="1"/>
  <c r="G12" i="7" s="1"/>
  <c r="U17" i="7"/>
  <c r="P17" i="7"/>
  <c r="L17" i="7"/>
  <c r="U16" i="7"/>
  <c r="P16" i="7"/>
  <c r="L16" i="7"/>
  <c r="U15" i="7"/>
  <c r="P15" i="7"/>
  <c r="L15" i="7"/>
  <c r="U14" i="7"/>
  <c r="P14" i="7"/>
  <c r="L14" i="7"/>
  <c r="Y13" i="7"/>
  <c r="Y12" i="7" s="1"/>
  <c r="X13" i="7"/>
  <c r="X12" i="7" s="1"/>
  <c r="W13" i="7"/>
  <c r="W12" i="7" s="1"/>
  <c r="T13" i="7"/>
  <c r="T12" i="7" s="1"/>
  <c r="S13" i="7"/>
  <c r="S12" i="7" s="1"/>
  <c r="R13" i="7"/>
  <c r="O13" i="7"/>
  <c r="O12" i="7" s="1"/>
  <c r="N13" i="7"/>
  <c r="N12" i="7" s="1"/>
  <c r="M13" i="7"/>
  <c r="M12" i="7" s="1"/>
  <c r="K13" i="7"/>
  <c r="K12" i="7" s="1"/>
  <c r="J13" i="7"/>
  <c r="J12" i="7" s="1"/>
  <c r="I13" i="7"/>
  <c r="I12" i="7" s="1"/>
  <c r="F13" i="7"/>
  <c r="F12" i="7" s="1"/>
  <c r="E13" i="7"/>
  <c r="E12" i="7" s="1"/>
  <c r="D13" i="7"/>
  <c r="D12" i="7" s="1"/>
  <c r="N20" i="7" l="1"/>
  <c r="N19" i="7" s="1"/>
  <c r="X20" i="7"/>
  <c r="X19" i="7" s="1"/>
  <c r="L149" i="7"/>
  <c r="L171" i="7"/>
  <c r="P171" i="7"/>
  <c r="P169" i="7" s="1"/>
  <c r="L174" i="7"/>
  <c r="P174" i="7"/>
  <c r="T244" i="7"/>
  <c r="T243" i="7" s="1"/>
  <c r="N69" i="7"/>
  <c r="L143" i="7"/>
  <c r="J147" i="7"/>
  <c r="R150" i="7"/>
  <c r="J169" i="7"/>
  <c r="J172" i="7"/>
  <c r="M172" i="7"/>
  <c r="T241" i="7"/>
  <c r="Z242" i="7"/>
  <c r="AC242" i="7" s="1"/>
  <c r="K244" i="7"/>
  <c r="K243" i="7" s="1"/>
  <c r="O244" i="7"/>
  <c r="O243" i="7" s="1"/>
  <c r="U264" i="7"/>
  <c r="K266" i="7"/>
  <c r="K265" i="7" s="1"/>
  <c r="X266" i="7"/>
  <c r="X265" i="7" s="1"/>
  <c r="G266" i="7"/>
  <c r="G265" i="7" s="1"/>
  <c r="H266" i="7"/>
  <c r="H265" i="7" s="1"/>
  <c r="P284" i="7"/>
  <c r="Z284" i="7" s="1"/>
  <c r="U284" i="7"/>
  <c r="U288" i="7"/>
  <c r="T294" i="7"/>
  <c r="T293" i="7" s="1"/>
  <c r="G303" i="7"/>
  <c r="G302" i="7" s="1"/>
  <c r="F322" i="7"/>
  <c r="J322" i="7"/>
  <c r="N322" i="7"/>
  <c r="G103" i="7"/>
  <c r="G102" i="7" s="1"/>
  <c r="U285" i="7"/>
  <c r="O287" i="7"/>
  <c r="O286" i="7" s="1"/>
  <c r="X244" i="7"/>
  <c r="X243" i="7" s="1"/>
  <c r="H244" i="7"/>
  <c r="H243" i="7" s="1"/>
  <c r="S263" i="7"/>
  <c r="W266" i="7"/>
  <c r="W265" i="7" s="1"/>
  <c r="O283" i="7"/>
  <c r="O282" i="7" s="1"/>
  <c r="AC329" i="7"/>
  <c r="AB328" i="7"/>
  <c r="P183" i="7"/>
  <c r="L183" i="7"/>
  <c r="Z185" i="7"/>
  <c r="AB242" i="7"/>
  <c r="AC259" i="7"/>
  <c r="AB259" i="7"/>
  <c r="AC260" i="7"/>
  <c r="AB260" i="7"/>
  <c r="I140" i="7"/>
  <c r="N140" i="7"/>
  <c r="R140" i="7"/>
  <c r="T140" i="7"/>
  <c r="X140" i="7"/>
  <c r="U183" i="7"/>
  <c r="AB320" i="7"/>
  <c r="AC325" i="7"/>
  <c r="AC312" i="7"/>
  <c r="AC328" i="7"/>
  <c r="AC320" i="7"/>
  <c r="Z184" i="7"/>
  <c r="AB184" i="7" s="1"/>
  <c r="V184" i="7"/>
  <c r="AC261" i="7"/>
  <c r="AB261" i="7"/>
  <c r="H315" i="7"/>
  <c r="AB316" i="7"/>
  <c r="AC132" i="7"/>
  <c r="AB132" i="7"/>
  <c r="Z323" i="7"/>
  <c r="AC324" i="7"/>
  <c r="AB324" i="7"/>
  <c r="AC311" i="7"/>
  <c r="AB311" i="7"/>
  <c r="AC327" i="7"/>
  <c r="AB327" i="7"/>
  <c r="Z318" i="7"/>
  <c r="AC319" i="7"/>
  <c r="AB319" i="7"/>
  <c r="H140" i="7"/>
  <c r="O140" i="7"/>
  <c r="W140" i="7"/>
  <c r="Y140" i="7"/>
  <c r="AB325" i="7"/>
  <c r="Y49" i="7"/>
  <c r="F212" i="7"/>
  <c r="D262" i="7"/>
  <c r="J262" i="7"/>
  <c r="N262" i="7"/>
  <c r="U263" i="7"/>
  <c r="T262" i="7"/>
  <c r="X262" i="7"/>
  <c r="E223" i="7"/>
  <c r="I223" i="7"/>
  <c r="O223" i="7"/>
  <c r="S223" i="7"/>
  <c r="W223" i="7"/>
  <c r="Y223" i="7"/>
  <c r="Z256" i="7"/>
  <c r="Q278" i="7"/>
  <c r="W286" i="7"/>
  <c r="Z273" i="7"/>
  <c r="Z274" i="7"/>
  <c r="G286" i="7"/>
  <c r="K286" i="7"/>
  <c r="M49" i="7"/>
  <c r="M46" i="7" s="1"/>
  <c r="M91" i="7"/>
  <c r="O91" i="7"/>
  <c r="O85" i="7" s="1"/>
  <c r="Y91" i="7"/>
  <c r="L99" i="7"/>
  <c r="P99" i="7"/>
  <c r="H102" i="7"/>
  <c r="D134" i="7"/>
  <c r="H134" i="7"/>
  <c r="H128" i="7" s="1"/>
  <c r="R134" i="7"/>
  <c r="T134" i="7"/>
  <c r="T128" i="7" s="1"/>
  <c r="X134" i="7"/>
  <c r="X128" i="7" s="1"/>
  <c r="J177" i="7"/>
  <c r="N212" i="7"/>
  <c r="U289" i="7"/>
  <c r="S134" i="7"/>
  <c r="Y189" i="7"/>
  <c r="Z199" i="7"/>
  <c r="Z200" i="7"/>
  <c r="AB200" i="7" s="1"/>
  <c r="Z201" i="7"/>
  <c r="AB201" i="7" s="1"/>
  <c r="O49" i="7"/>
  <c r="O46" i="7" s="1"/>
  <c r="I102" i="7"/>
  <c r="K102" i="7"/>
  <c r="V107" i="7"/>
  <c r="AA107" i="7" s="1"/>
  <c r="V108" i="7"/>
  <c r="AA108" i="7" s="1"/>
  <c r="Z109" i="7"/>
  <c r="AB109" i="7" s="1"/>
  <c r="J102" i="7"/>
  <c r="W177" i="7"/>
  <c r="G189" i="7"/>
  <c r="Y212" i="7"/>
  <c r="U325" i="7"/>
  <c r="T322" i="7"/>
  <c r="X322" i="7"/>
  <c r="D322" i="7"/>
  <c r="D310" i="7" s="1"/>
  <c r="H322" i="7"/>
  <c r="P322" i="7"/>
  <c r="V112" i="7"/>
  <c r="AA112" i="7" s="1"/>
  <c r="Q47" i="7"/>
  <c r="I49" i="7"/>
  <c r="I46" i="7" s="1"/>
  <c r="K49" i="7"/>
  <c r="P49" i="7"/>
  <c r="D61" i="7"/>
  <c r="F61" i="7"/>
  <c r="D69" i="7"/>
  <c r="F69" i="7"/>
  <c r="J69" i="7"/>
  <c r="R69" i="7"/>
  <c r="T69" i="7"/>
  <c r="X69" i="7"/>
  <c r="V73" i="7"/>
  <c r="AA73" i="7" s="1"/>
  <c r="U77" i="7"/>
  <c r="Z78" i="7"/>
  <c r="E91" i="7"/>
  <c r="G91" i="7"/>
  <c r="G85" i="7" s="1"/>
  <c r="I91" i="7"/>
  <c r="K91" i="7"/>
  <c r="K85" i="7" s="1"/>
  <c r="V93" i="7"/>
  <c r="AA93" i="7" s="1"/>
  <c r="V97" i="7"/>
  <c r="AA97" i="7" s="1"/>
  <c r="D91" i="7"/>
  <c r="F91" i="7"/>
  <c r="J91" i="7"/>
  <c r="S91" i="7"/>
  <c r="S85" i="7" s="1"/>
  <c r="W91" i="7"/>
  <c r="V101" i="7"/>
  <c r="N128" i="7"/>
  <c r="I189" i="7"/>
  <c r="E189" i="7"/>
  <c r="Q199" i="7"/>
  <c r="V199" i="7"/>
  <c r="AA199" i="7" s="1"/>
  <c r="Q200" i="7"/>
  <c r="V200" i="7"/>
  <c r="AA200" i="7" s="1"/>
  <c r="Q201" i="7"/>
  <c r="V201" i="7"/>
  <c r="V203" i="7"/>
  <c r="AA203" i="7" s="1"/>
  <c r="V205" i="7"/>
  <c r="AA205" i="7" s="1"/>
  <c r="V211" i="7"/>
  <c r="AA211" i="7" s="1"/>
  <c r="V321" i="7"/>
  <c r="J113" i="7"/>
  <c r="R128" i="7"/>
  <c r="S177" i="7"/>
  <c r="Y177" i="7"/>
  <c r="D212" i="7"/>
  <c r="J212" i="7"/>
  <c r="Z275" i="7"/>
  <c r="M189" i="7"/>
  <c r="S212" i="7"/>
  <c r="G20" i="7"/>
  <c r="G19" i="7" s="1"/>
  <c r="D30" i="7"/>
  <c r="D29" i="7" s="1"/>
  <c r="F30" i="7"/>
  <c r="F29" i="7" s="1"/>
  <c r="J29" i="7"/>
  <c r="E49" i="7"/>
  <c r="E46" i="7" s="1"/>
  <c r="G49" i="7"/>
  <c r="G46" i="7" s="1"/>
  <c r="R49" i="7"/>
  <c r="T49" i="7"/>
  <c r="T46" i="7" s="1"/>
  <c r="X49" i="7"/>
  <c r="X46" i="7" s="1"/>
  <c r="S49" i="7"/>
  <c r="W49" i="7"/>
  <c r="W46" i="7" s="1"/>
  <c r="V56" i="7"/>
  <c r="AA56" i="7" s="1"/>
  <c r="M61" i="7"/>
  <c r="H61" i="7"/>
  <c r="J61" i="7"/>
  <c r="Q156" i="7"/>
  <c r="Q160" i="7"/>
  <c r="U167" i="7"/>
  <c r="E177" i="7"/>
  <c r="U178" i="7"/>
  <c r="V179" i="7"/>
  <c r="AA179" i="7" s="1"/>
  <c r="Z180" i="7"/>
  <c r="AB180" i="7" s="1"/>
  <c r="D177" i="7"/>
  <c r="F177" i="7"/>
  <c r="U213" i="7"/>
  <c r="U229" i="7"/>
  <c r="T228" i="7"/>
  <c r="U231" i="7"/>
  <c r="Z232" i="7"/>
  <c r="D228" i="7"/>
  <c r="Z245" i="7"/>
  <c r="Z246" i="7"/>
  <c r="V247" i="7"/>
  <c r="AA247" i="7" s="1"/>
  <c r="V248" i="7"/>
  <c r="AA248" i="7" s="1"/>
  <c r="Z250" i="7"/>
  <c r="Z251" i="7"/>
  <c r="Z252" i="7"/>
  <c r="Z253" i="7"/>
  <c r="Z255" i="7"/>
  <c r="Q256" i="7"/>
  <c r="V256" i="7"/>
  <c r="AA256" i="7" s="1"/>
  <c r="Z257" i="7"/>
  <c r="Q258" i="7"/>
  <c r="V259" i="7"/>
  <c r="AA259" i="7" s="1"/>
  <c r="Y286" i="7"/>
  <c r="J20" i="7"/>
  <c r="J19" i="7" s="1"/>
  <c r="M20" i="7"/>
  <c r="M19" i="7" s="1"/>
  <c r="O20" i="7"/>
  <c r="O19" i="7" s="1"/>
  <c r="S20" i="7"/>
  <c r="S19" i="7" s="1"/>
  <c r="W20" i="7"/>
  <c r="W19" i="7" s="1"/>
  <c r="Y20" i="7"/>
  <c r="Y19" i="7" s="1"/>
  <c r="U23" i="7"/>
  <c r="Z23" i="7" s="1"/>
  <c r="P31" i="7"/>
  <c r="I61" i="7"/>
  <c r="S61" i="7"/>
  <c r="K61" i="7"/>
  <c r="D113" i="7"/>
  <c r="F113" i="7"/>
  <c r="I113" i="7"/>
  <c r="N113" i="7"/>
  <c r="R113" i="7"/>
  <c r="V121" i="7"/>
  <c r="Z122" i="7"/>
  <c r="V123" i="7"/>
  <c r="AA123" i="7" s="1"/>
  <c r="V125" i="7"/>
  <c r="U130" i="7"/>
  <c r="E134" i="7"/>
  <c r="E128" i="7" s="1"/>
  <c r="G134" i="7"/>
  <c r="G128" i="7" s="1"/>
  <c r="I134" i="7"/>
  <c r="I128" i="7" s="1"/>
  <c r="K134" i="7"/>
  <c r="K128" i="7" s="1"/>
  <c r="U135" i="7"/>
  <c r="W134" i="7"/>
  <c r="W128" i="7" s="1"/>
  <c r="Y134" i="7"/>
  <c r="Y128" i="7" s="1"/>
  <c r="Q137" i="7"/>
  <c r="Q158" i="7"/>
  <c r="U226" i="7"/>
  <c r="R262" i="7"/>
  <c r="V326" i="7"/>
  <c r="AA326" i="7" s="1"/>
  <c r="E85" i="7"/>
  <c r="U287" i="7"/>
  <c r="K113" i="7"/>
  <c r="T113" i="7"/>
  <c r="Z15" i="7"/>
  <c r="Z17" i="7"/>
  <c r="E20" i="7"/>
  <c r="E19" i="7" s="1"/>
  <c r="I20" i="7"/>
  <c r="I19" i="7" s="1"/>
  <c r="K20" i="7"/>
  <c r="K19" i="7" s="1"/>
  <c r="U27" i="7"/>
  <c r="V33" i="7"/>
  <c r="M30" i="7"/>
  <c r="M29" i="7" s="1"/>
  <c r="O30" i="7"/>
  <c r="O29" i="7" s="1"/>
  <c r="Q42" i="7"/>
  <c r="Y46" i="7"/>
  <c r="K46" i="7"/>
  <c r="V58" i="7"/>
  <c r="AA58" i="7" s="1"/>
  <c r="E54" i="7"/>
  <c r="G54" i="7"/>
  <c r="I54" i="7"/>
  <c r="K54" i="7"/>
  <c r="M54" i="7"/>
  <c r="O54" i="7"/>
  <c r="U59" i="7"/>
  <c r="W54" i="7"/>
  <c r="Y54" i="7"/>
  <c r="E61" i="7"/>
  <c r="G61" i="7"/>
  <c r="Y61" i="7"/>
  <c r="N61" i="7"/>
  <c r="W61" i="7"/>
  <c r="V67" i="7"/>
  <c r="U74" i="7"/>
  <c r="V75" i="7"/>
  <c r="AA75" i="7" s="1"/>
  <c r="U83" i="7"/>
  <c r="V84" i="7"/>
  <c r="AA84" i="7" s="1"/>
  <c r="I85" i="7"/>
  <c r="V89" i="7"/>
  <c r="AA89" i="7" s="1"/>
  <c r="M85" i="7"/>
  <c r="U137" i="7"/>
  <c r="U141" i="7"/>
  <c r="D140" i="7"/>
  <c r="L147" i="7"/>
  <c r="U150" i="7"/>
  <c r="U152" i="7"/>
  <c r="Z152" i="7" s="1"/>
  <c r="U158" i="7"/>
  <c r="U165" i="7"/>
  <c r="Q167" i="7"/>
  <c r="L169" i="7"/>
  <c r="U172" i="7"/>
  <c r="V173" i="7"/>
  <c r="AA173" i="7" s="1"/>
  <c r="P172" i="7"/>
  <c r="U175" i="7"/>
  <c r="Z176" i="7"/>
  <c r="U193" i="7"/>
  <c r="Z193" i="7" s="1"/>
  <c r="AB193" i="7" s="1"/>
  <c r="K189" i="7"/>
  <c r="W212" i="7"/>
  <c r="M212" i="7"/>
  <c r="O212" i="7"/>
  <c r="N223" i="7"/>
  <c r="T223" i="7"/>
  <c r="X223" i="7"/>
  <c r="O262" i="7"/>
  <c r="F262" i="7"/>
  <c r="E286" i="7"/>
  <c r="I286" i="7"/>
  <c r="U327" i="7"/>
  <c r="U328" i="7"/>
  <c r="U329" i="7"/>
  <c r="L20" i="7"/>
  <c r="L19" i="7" s="1"/>
  <c r="Y85" i="7"/>
  <c r="J85" i="7"/>
  <c r="J68" i="7" s="1"/>
  <c r="W85" i="7"/>
  <c r="U114" i="7"/>
  <c r="Z114" i="7" s="1"/>
  <c r="U115" i="7"/>
  <c r="D128" i="7"/>
  <c r="F134" i="7"/>
  <c r="F128" i="7" s="1"/>
  <c r="J134" i="7"/>
  <c r="J128" i="7" s="1"/>
  <c r="W189" i="7"/>
  <c r="O189" i="7"/>
  <c r="V216" i="7"/>
  <c r="V217" i="7"/>
  <c r="E212" i="7"/>
  <c r="G212" i="7"/>
  <c r="V225" i="7"/>
  <c r="AA225" i="7" s="1"/>
  <c r="G223" i="7"/>
  <c r="K223" i="7"/>
  <c r="J228" i="7"/>
  <c r="U278" i="7"/>
  <c r="U280" i="7"/>
  <c r="M286" i="7"/>
  <c r="T286" i="7"/>
  <c r="X286" i="7"/>
  <c r="V290" i="7"/>
  <c r="AA290" i="7" s="1"/>
  <c r="U291" i="7"/>
  <c r="Z292" i="7"/>
  <c r="Z301" i="7"/>
  <c r="U302" i="7"/>
  <c r="U303" i="7"/>
  <c r="P303" i="7"/>
  <c r="P302" i="7" s="1"/>
  <c r="V305" i="7"/>
  <c r="AA305" i="7" s="1"/>
  <c r="V307" i="7"/>
  <c r="AA307" i="7" s="1"/>
  <c r="V308" i="7"/>
  <c r="AA308" i="7" s="1"/>
  <c r="U311" i="7"/>
  <c r="U312" i="7"/>
  <c r="U198" i="7"/>
  <c r="S197" i="7"/>
  <c r="V230" i="7"/>
  <c r="AA230" i="7" s="1"/>
  <c r="L229" i="7"/>
  <c r="L314" i="7"/>
  <c r="W30" i="7"/>
  <c r="W29" i="7" s="1"/>
  <c r="U13" i="7"/>
  <c r="Z14" i="7"/>
  <c r="U21" i="7"/>
  <c r="T20" i="7"/>
  <c r="T19" i="7" s="1"/>
  <c r="D20" i="7"/>
  <c r="D19" i="7" s="1"/>
  <c r="F20" i="7"/>
  <c r="F19" i="7" s="1"/>
  <c r="H20" i="7"/>
  <c r="H19" i="7" s="1"/>
  <c r="U25" i="7"/>
  <c r="Z25" i="7" s="1"/>
  <c r="U31" i="7"/>
  <c r="Z32" i="7"/>
  <c r="Z33" i="7"/>
  <c r="K30" i="7"/>
  <c r="K29" i="7" s="1"/>
  <c r="N30" i="7"/>
  <c r="N29" i="7" s="1"/>
  <c r="P34" i="7"/>
  <c r="R29" i="7"/>
  <c r="T29" i="7"/>
  <c r="X29" i="7"/>
  <c r="P39" i="7"/>
  <c r="H29" i="7"/>
  <c r="U42" i="7"/>
  <c r="U44" i="7"/>
  <c r="Z45" i="7"/>
  <c r="D49" i="7"/>
  <c r="D46" i="7" s="1"/>
  <c r="F49" i="7"/>
  <c r="F46" i="7" s="1"/>
  <c r="J49" i="7"/>
  <c r="J46" i="7" s="1"/>
  <c r="N49" i="7"/>
  <c r="N46" i="7" s="1"/>
  <c r="U52" i="7"/>
  <c r="Z52" i="7" s="1"/>
  <c r="V53" i="7"/>
  <c r="AA53" i="7" s="1"/>
  <c r="U55" i="7"/>
  <c r="D54" i="7"/>
  <c r="H54" i="7"/>
  <c r="L57" i="7"/>
  <c r="X54" i="7"/>
  <c r="V60" i="7"/>
  <c r="AA60" i="7" s="1"/>
  <c r="O61" i="7"/>
  <c r="V63" i="7"/>
  <c r="U64" i="7"/>
  <c r="T61" i="7"/>
  <c r="X61" i="7"/>
  <c r="V65" i="7"/>
  <c r="U66" i="7"/>
  <c r="U70" i="7"/>
  <c r="Z70" i="7" s="1"/>
  <c r="V71" i="7"/>
  <c r="AA71" i="7" s="1"/>
  <c r="E69" i="7"/>
  <c r="G69" i="7"/>
  <c r="I69" i="7"/>
  <c r="K69" i="7"/>
  <c r="M69" i="7"/>
  <c r="O69" i="7"/>
  <c r="U72" i="7"/>
  <c r="W69" i="7"/>
  <c r="Y69" i="7"/>
  <c r="L74" i="7"/>
  <c r="L69" i="7" s="1"/>
  <c r="S76" i="7"/>
  <c r="U76" i="7" s="1"/>
  <c r="V78" i="7"/>
  <c r="AA78" i="7" s="1"/>
  <c r="R82" i="7"/>
  <c r="U82" i="7" s="1"/>
  <c r="L83" i="7"/>
  <c r="L82" i="7" s="1"/>
  <c r="Q82" i="7" s="1"/>
  <c r="U86" i="7"/>
  <c r="U87" i="7"/>
  <c r="U88" i="7"/>
  <c r="V90" i="7"/>
  <c r="AA90" i="7" s="1"/>
  <c r="U92" i="7"/>
  <c r="V94" i="7"/>
  <c r="U96" i="7"/>
  <c r="V98" i="7"/>
  <c r="U99" i="7"/>
  <c r="Z99" i="7" s="1"/>
  <c r="T91" i="7"/>
  <c r="T85" i="7" s="1"/>
  <c r="T68" i="7" s="1"/>
  <c r="X91" i="7"/>
  <c r="X85" i="7" s="1"/>
  <c r="X68" i="7" s="1"/>
  <c r="V100" i="7"/>
  <c r="AA100" i="7" s="1"/>
  <c r="V104" i="7"/>
  <c r="AA104" i="7" s="1"/>
  <c r="V105" i="7"/>
  <c r="AA105" i="7" s="1"/>
  <c r="U106" i="7"/>
  <c r="V109" i="7"/>
  <c r="U110" i="7"/>
  <c r="U111" i="7"/>
  <c r="M177" i="7"/>
  <c r="O177" i="7"/>
  <c r="J189" i="7"/>
  <c r="N189" i="7"/>
  <c r="D197" i="7"/>
  <c r="D189" i="7" s="1"/>
  <c r="F197" i="7"/>
  <c r="F189" i="7" s="1"/>
  <c r="I212" i="7"/>
  <c r="K212" i="7"/>
  <c r="T310" i="7"/>
  <c r="U129" i="7"/>
  <c r="S128" i="7"/>
  <c r="Z142" i="7"/>
  <c r="L141" i="7"/>
  <c r="Z153" i="7"/>
  <c r="V153" i="7"/>
  <c r="V181" i="7"/>
  <c r="L178" i="7"/>
  <c r="L177" i="7" s="1"/>
  <c r="Z182" i="7"/>
  <c r="P178" i="7"/>
  <c r="R177" i="7"/>
  <c r="V186" i="7"/>
  <c r="AA186" i="7" s="1"/>
  <c r="Z191" i="7"/>
  <c r="P190" i="7"/>
  <c r="Z194" i="7"/>
  <c r="AB194" i="7" s="1"/>
  <c r="V194" i="7"/>
  <c r="V214" i="7"/>
  <c r="L213" i="7"/>
  <c r="Z215" i="7"/>
  <c r="P213" i="7"/>
  <c r="P212" i="7" s="1"/>
  <c r="U219" i="7"/>
  <c r="R218" i="7"/>
  <c r="V220" i="7"/>
  <c r="AA220" i="7" s="1"/>
  <c r="L219" i="7"/>
  <c r="V227" i="7"/>
  <c r="AA227" i="7" s="1"/>
  <c r="L226" i="7"/>
  <c r="U235" i="7"/>
  <c r="R228" i="7"/>
  <c r="Z236" i="7"/>
  <c r="P235" i="7"/>
  <c r="L322" i="7"/>
  <c r="P13" i="7"/>
  <c r="P12" i="7" s="1"/>
  <c r="S30" i="7"/>
  <c r="Y30" i="7"/>
  <c r="S29" i="7"/>
  <c r="Y29" i="7"/>
  <c r="F54" i="7"/>
  <c r="J54" i="7"/>
  <c r="N54" i="7"/>
  <c r="T54" i="7"/>
  <c r="P62" i="7"/>
  <c r="P61" i="7" s="1"/>
  <c r="D85" i="7"/>
  <c r="D68" i="7" s="1"/>
  <c r="F85" i="7"/>
  <c r="F68" i="7" s="1"/>
  <c r="N91" i="7"/>
  <c r="N85" i="7" s="1"/>
  <c r="N68" i="7" s="1"/>
  <c r="U102" i="7"/>
  <c r="U103" i="7"/>
  <c r="P134" i="7"/>
  <c r="P128" i="7" s="1"/>
  <c r="I177" i="7"/>
  <c r="K177" i="7"/>
  <c r="T177" i="7"/>
  <c r="X177" i="7"/>
  <c r="G177" i="7"/>
  <c r="T212" i="7"/>
  <c r="X212" i="7"/>
  <c r="F228" i="7"/>
  <c r="E228" i="7"/>
  <c r="G228" i="7"/>
  <c r="M228" i="7"/>
  <c r="X228" i="7"/>
  <c r="I262" i="7"/>
  <c r="E262" i="7"/>
  <c r="G262" i="7"/>
  <c r="U315" i="7"/>
  <c r="E322" i="7"/>
  <c r="G322" i="7"/>
  <c r="G310" i="7" s="1"/>
  <c r="I322" i="7"/>
  <c r="K322" i="7"/>
  <c r="K310" i="7" s="1"/>
  <c r="M322" i="7"/>
  <c r="O322" i="7"/>
  <c r="O310" i="7" s="1"/>
  <c r="W322" i="7"/>
  <c r="Y322" i="7"/>
  <c r="V191" i="7"/>
  <c r="L190" i="7"/>
  <c r="U116" i="7"/>
  <c r="Z116" i="7" s="1"/>
  <c r="V117" i="7"/>
  <c r="AA117" i="7" s="1"/>
  <c r="E113" i="7"/>
  <c r="G113" i="7"/>
  <c r="M113" i="7"/>
  <c r="O113" i="7"/>
  <c r="U118" i="7"/>
  <c r="U119" i="7"/>
  <c r="U120" i="7"/>
  <c r="W113" i="7"/>
  <c r="Y113" i="7"/>
  <c r="V122" i="7"/>
  <c r="Z124" i="7"/>
  <c r="V126" i="7"/>
  <c r="AA126" i="7" s="1"/>
  <c r="M134" i="7"/>
  <c r="M128" i="7" s="1"/>
  <c r="O134" i="7"/>
  <c r="O128" i="7" s="1"/>
  <c r="V138" i="7"/>
  <c r="AA138" i="7" s="1"/>
  <c r="F140" i="7"/>
  <c r="U144" i="7"/>
  <c r="Z148" i="7"/>
  <c r="U156" i="7"/>
  <c r="Z157" i="7"/>
  <c r="V159" i="7"/>
  <c r="AA159" i="7" s="1"/>
  <c r="U160" i="7"/>
  <c r="Z160" i="7" s="1"/>
  <c r="Z161" i="7"/>
  <c r="U169" i="7"/>
  <c r="V170" i="7"/>
  <c r="AA170" i="7" s="1"/>
  <c r="V176" i="7"/>
  <c r="AA176" i="7" s="1"/>
  <c r="V180" i="7"/>
  <c r="Z181" i="7"/>
  <c r="AB181" i="7" s="1"/>
  <c r="V182" i="7"/>
  <c r="AA182" i="7" s="1"/>
  <c r="V185" i="7"/>
  <c r="Z186" i="7"/>
  <c r="V187" i="7"/>
  <c r="V188" i="7"/>
  <c r="AA188" i="7" s="1"/>
  <c r="U195" i="7"/>
  <c r="T189" i="7"/>
  <c r="X189" i="7"/>
  <c r="V196" i="7"/>
  <c r="AA196" i="7" s="1"/>
  <c r="V202" i="7"/>
  <c r="AA202" i="7" s="1"/>
  <c r="Z203" i="7"/>
  <c r="V204" i="7"/>
  <c r="AA204" i="7" s="1"/>
  <c r="Z205" i="7"/>
  <c r="V206" i="7"/>
  <c r="U207" i="7"/>
  <c r="V208" i="7"/>
  <c r="AA208" i="7" s="1"/>
  <c r="U209" i="7"/>
  <c r="U210" i="7"/>
  <c r="Z211" i="7"/>
  <c r="Z214" i="7"/>
  <c r="AB214" i="7" s="1"/>
  <c r="V215" i="7"/>
  <c r="Z216" i="7"/>
  <c r="AB216" i="7" s="1"/>
  <c r="H212" i="7"/>
  <c r="U224" i="7"/>
  <c r="Z225" i="7"/>
  <c r="F223" i="7"/>
  <c r="H223" i="7"/>
  <c r="J223" i="7"/>
  <c r="V232" i="7"/>
  <c r="AA232" i="7" s="1"/>
  <c r="U233" i="7"/>
  <c r="V236" i="7"/>
  <c r="AA236" i="7" s="1"/>
  <c r="U237" i="7"/>
  <c r="U239" i="7"/>
  <c r="Z239" i="7" s="1"/>
  <c r="V240" i="7"/>
  <c r="AA240" i="7" s="1"/>
  <c r="P241" i="7"/>
  <c r="Q241" i="7" s="1"/>
  <c r="U241" i="7"/>
  <c r="Q242" i="7"/>
  <c r="I228" i="7"/>
  <c r="O228" i="7"/>
  <c r="U243" i="7"/>
  <c r="W228" i="7"/>
  <c r="U244" i="7"/>
  <c r="V245" i="7"/>
  <c r="AA245" i="7" s="1"/>
  <c r="Q250" i="7"/>
  <c r="V250" i="7"/>
  <c r="AA250" i="7" s="1"/>
  <c r="Q251" i="7"/>
  <c r="V251" i="7"/>
  <c r="AA251" i="7" s="1"/>
  <c r="Q252" i="7"/>
  <c r="V252" i="7"/>
  <c r="AA252" i="7" s="1"/>
  <c r="Z254" i="7"/>
  <c r="V257" i="7"/>
  <c r="AA257" i="7" s="1"/>
  <c r="U265" i="7"/>
  <c r="U266" i="7"/>
  <c r="Z268" i="7"/>
  <c r="Z270" i="7"/>
  <c r="Z271" i="7"/>
  <c r="V274" i="7"/>
  <c r="AA274" i="7" s="1"/>
  <c r="Z276" i="7"/>
  <c r="W262" i="7"/>
  <c r="W222" i="7" s="1"/>
  <c r="W221" i="7" s="1"/>
  <c r="Z277" i="7"/>
  <c r="P283" i="7"/>
  <c r="P282" i="7" s="1"/>
  <c r="L283" i="7"/>
  <c r="L282" i="7" s="1"/>
  <c r="S286" i="7"/>
  <c r="D286" i="7"/>
  <c r="D222" i="7" s="1"/>
  <c r="D221" i="7" s="1"/>
  <c r="F286" i="7"/>
  <c r="H286" i="7"/>
  <c r="J286" i="7"/>
  <c r="J222" i="7" s="1"/>
  <c r="J221" i="7" s="1"/>
  <c r="L289" i="7"/>
  <c r="Z289" i="7" s="1"/>
  <c r="N286" i="7"/>
  <c r="V292" i="7"/>
  <c r="AA292" i="7" s="1"/>
  <c r="U293" i="7"/>
  <c r="U294" i="7"/>
  <c r="Q295" i="7"/>
  <c r="U296" i="7"/>
  <c r="U297" i="7"/>
  <c r="U298" i="7"/>
  <c r="U299" i="7"/>
  <c r="V300" i="7"/>
  <c r="AA300" i="7" s="1"/>
  <c r="V301" i="7"/>
  <c r="AA301" i="7" s="1"/>
  <c r="L303" i="7"/>
  <c r="Q303" i="7" s="1"/>
  <c r="V304" i="7"/>
  <c r="AA304" i="7" s="1"/>
  <c r="Z305" i="7"/>
  <c r="V306" i="7"/>
  <c r="AA306" i="7" s="1"/>
  <c r="Z307" i="7"/>
  <c r="V313" i="7"/>
  <c r="AA313" i="7" s="1"/>
  <c r="R314" i="7"/>
  <c r="U314" i="7" s="1"/>
  <c r="U316" i="7"/>
  <c r="V317" i="7"/>
  <c r="AA317" i="7" s="1"/>
  <c r="U320" i="7"/>
  <c r="V320" i="7" s="1"/>
  <c r="R324" i="7"/>
  <c r="Y228" i="7"/>
  <c r="Y262" i="7"/>
  <c r="H262" i="7"/>
  <c r="H228" i="7"/>
  <c r="H197" i="7"/>
  <c r="H189" i="7" s="1"/>
  <c r="Z104" i="7"/>
  <c r="Z83" i="7"/>
  <c r="Z89" i="7"/>
  <c r="Z93" i="7"/>
  <c r="Z97" i="7"/>
  <c r="Z101" i="7"/>
  <c r="AB101" i="7" s="1"/>
  <c r="Z107" i="7"/>
  <c r="Z112" i="7"/>
  <c r="Z121" i="7"/>
  <c r="AB121" i="7" s="1"/>
  <c r="Z123" i="7"/>
  <c r="Z125" i="7"/>
  <c r="V145" i="7"/>
  <c r="AA145" i="7" s="1"/>
  <c r="N139" i="7"/>
  <c r="U162" i="7"/>
  <c r="P162" i="7"/>
  <c r="I30" i="7"/>
  <c r="I29" i="7" s="1"/>
  <c r="H113" i="7"/>
  <c r="H91" i="7"/>
  <c r="H85" i="7" s="1"/>
  <c r="H68" i="7" s="1"/>
  <c r="Z28" i="7"/>
  <c r="E30" i="7"/>
  <c r="E29" i="7" s="1"/>
  <c r="G30" i="7"/>
  <c r="G29" i="7" s="1"/>
  <c r="Z38" i="7"/>
  <c r="S46" i="7"/>
  <c r="U50" i="7"/>
  <c r="V50" i="7" s="1"/>
  <c r="AA50" i="7" s="1"/>
  <c r="Z51" i="7"/>
  <c r="Z60" i="7"/>
  <c r="Z65" i="7"/>
  <c r="Z18" i="7"/>
  <c r="Z56" i="7"/>
  <c r="Z73" i="7"/>
  <c r="Z74" i="7"/>
  <c r="H46" i="7"/>
  <c r="Z40" i="7"/>
  <c r="L39" i="7"/>
  <c r="Q52" i="7"/>
  <c r="Z35" i="7"/>
  <c r="L34" i="7"/>
  <c r="Q14" i="7"/>
  <c r="V14" i="7"/>
  <c r="AA14" i="7" s="1"/>
  <c r="Z16" i="7"/>
  <c r="Z22" i="7"/>
  <c r="Z24" i="7"/>
  <c r="Z26" i="7"/>
  <c r="U30" i="7"/>
  <c r="Q32" i="7"/>
  <c r="Z36" i="7"/>
  <c r="U39" i="7"/>
  <c r="V40" i="7"/>
  <c r="AA40" i="7" s="1"/>
  <c r="Z43" i="7"/>
  <c r="Q45" i="7"/>
  <c r="V45" i="7"/>
  <c r="AA45" i="7" s="1"/>
  <c r="U47" i="7"/>
  <c r="Z47" i="7" s="1"/>
  <c r="Z48" i="7"/>
  <c r="V51" i="7"/>
  <c r="AA51" i="7" s="1"/>
  <c r="R12" i="7"/>
  <c r="L13" i="7"/>
  <c r="Q15" i="7"/>
  <c r="V15" i="7"/>
  <c r="AA15" i="7" s="1"/>
  <c r="V16" i="7"/>
  <c r="AA16" i="7" s="1"/>
  <c r="Q17" i="7"/>
  <c r="V17" i="7"/>
  <c r="AA17" i="7" s="1"/>
  <c r="V18" i="7"/>
  <c r="AA18" i="7" s="1"/>
  <c r="R20" i="7"/>
  <c r="Q21" i="7"/>
  <c r="V21" i="7"/>
  <c r="AA21" i="7" s="1"/>
  <c r="Z21" i="7"/>
  <c r="V22" i="7"/>
  <c r="AA22" i="7" s="1"/>
  <c r="V23" i="7"/>
  <c r="AA23" i="7" s="1"/>
  <c r="V24" i="7"/>
  <c r="AA24" i="7" s="1"/>
  <c r="Q25" i="7"/>
  <c r="V25" i="7"/>
  <c r="AA25" i="7" s="1"/>
  <c r="V26" i="7"/>
  <c r="AA26" i="7" s="1"/>
  <c r="P27" i="7"/>
  <c r="P20" i="7" s="1"/>
  <c r="V28" i="7"/>
  <c r="AA28" i="7" s="1"/>
  <c r="L31" i="7"/>
  <c r="U34" i="7"/>
  <c r="Q35" i="7"/>
  <c r="V35" i="7"/>
  <c r="AA35" i="7" s="1"/>
  <c r="V36" i="7"/>
  <c r="V38" i="7"/>
  <c r="Z41" i="7"/>
  <c r="V43" i="7"/>
  <c r="AA43" i="7" s="1"/>
  <c r="L44" i="7"/>
  <c r="V48" i="7"/>
  <c r="AA48" i="7" s="1"/>
  <c r="L49" i="7"/>
  <c r="Z64" i="7"/>
  <c r="Z82" i="7"/>
  <c r="Z115" i="7"/>
  <c r="U49" i="7"/>
  <c r="R46" i="7"/>
  <c r="V32" i="7"/>
  <c r="AA32" i="7" s="1"/>
  <c r="Q40" i="7"/>
  <c r="V41" i="7"/>
  <c r="Z42" i="7"/>
  <c r="P46" i="7"/>
  <c r="Z131" i="7"/>
  <c r="L130" i="7"/>
  <c r="Z136" i="7"/>
  <c r="L135" i="7"/>
  <c r="U149" i="7"/>
  <c r="S147" i="7"/>
  <c r="S140" i="7" s="1"/>
  <c r="Z164" i="7"/>
  <c r="L162" i="7"/>
  <c r="Z171" i="7"/>
  <c r="V171" i="7"/>
  <c r="AA171" i="7" s="1"/>
  <c r="Q171" i="7"/>
  <c r="V174" i="7"/>
  <c r="AA174" i="7" s="1"/>
  <c r="Q174" i="7"/>
  <c r="L172" i="7"/>
  <c r="Z174" i="7"/>
  <c r="Z227" i="7"/>
  <c r="Q227" i="7"/>
  <c r="P226" i="7"/>
  <c r="V226" i="7" s="1"/>
  <c r="AA226" i="7" s="1"/>
  <c r="Z234" i="7"/>
  <c r="V234" i="7"/>
  <c r="AA234" i="7" s="1"/>
  <c r="L233" i="7"/>
  <c r="Q234" i="7"/>
  <c r="Z238" i="7"/>
  <c r="L237" i="7"/>
  <c r="V238" i="7"/>
  <c r="AA238" i="7" s="1"/>
  <c r="Q238" i="7"/>
  <c r="V249" i="7"/>
  <c r="AA249" i="7" s="1"/>
  <c r="Q249" i="7"/>
  <c r="Z249" i="7"/>
  <c r="V253" i="7"/>
  <c r="AA253" i="7" s="1"/>
  <c r="Q253" i="7"/>
  <c r="P244" i="7"/>
  <c r="P243" i="7" s="1"/>
  <c r="Q16" i="7"/>
  <c r="Q18" i="7"/>
  <c r="Q22" i="7"/>
  <c r="Q24" i="7"/>
  <c r="Q23" i="7" s="1"/>
  <c r="Q26" i="7"/>
  <c r="Q28" i="7"/>
  <c r="Q33" i="7"/>
  <c r="Q36" i="7"/>
  <c r="Q38" i="7"/>
  <c r="Q41" i="7"/>
  <c r="V42" i="7"/>
  <c r="AA42" i="7" s="1"/>
  <c r="Q43" i="7"/>
  <c r="Q48" i="7"/>
  <c r="Q51" i="7"/>
  <c r="Q50" i="7" s="1"/>
  <c r="Z53" i="7"/>
  <c r="L54" i="7"/>
  <c r="R54" i="7"/>
  <c r="P55" i="7"/>
  <c r="Q56" i="7"/>
  <c r="S57" i="7"/>
  <c r="U57" i="7" s="1"/>
  <c r="Z58" i="7"/>
  <c r="P59" i="7"/>
  <c r="Z59" i="7" s="1"/>
  <c r="Q60" i="7"/>
  <c r="L62" i="7"/>
  <c r="R62" i="7"/>
  <c r="Z63" i="7"/>
  <c r="Q64" i="7"/>
  <c r="Q65" i="7"/>
  <c r="L66" i="7"/>
  <c r="Z67" i="7"/>
  <c r="S69" i="7"/>
  <c r="Q70" i="7"/>
  <c r="Z71" i="7"/>
  <c r="P72" i="7"/>
  <c r="Z72" i="7" s="1"/>
  <c r="Q73" i="7"/>
  <c r="Z75" i="7"/>
  <c r="P77" i="7"/>
  <c r="V77" i="7" s="1"/>
  <c r="AA77" i="7" s="1"/>
  <c r="Q78" i="7"/>
  <c r="Q83" i="7"/>
  <c r="Z84" i="7"/>
  <c r="L88" i="7"/>
  <c r="P88" i="7"/>
  <c r="P87" i="7" s="1"/>
  <c r="P86" i="7" s="1"/>
  <c r="Q89" i="7"/>
  <c r="Z90" i="7"/>
  <c r="R91" i="7"/>
  <c r="L92" i="7"/>
  <c r="P92" i="7"/>
  <c r="Q93" i="7"/>
  <c r="Z94" i="7"/>
  <c r="AB94" i="7" s="1"/>
  <c r="V95" i="7"/>
  <c r="L96" i="7"/>
  <c r="P96" i="7"/>
  <c r="Q97" i="7"/>
  <c r="Z98" i="7"/>
  <c r="AB98" i="7" s="1"/>
  <c r="Z100" i="7"/>
  <c r="Q101" i="7"/>
  <c r="Q104" i="7"/>
  <c r="Z105" i="7"/>
  <c r="L106" i="7"/>
  <c r="P106" i="7"/>
  <c r="P103" i="7" s="1"/>
  <c r="Q107" i="7"/>
  <c r="Z108" i="7"/>
  <c r="Q109" i="7"/>
  <c r="P111" i="7"/>
  <c r="Q112" i="7"/>
  <c r="S113" i="7"/>
  <c r="U113" i="7" s="1"/>
  <c r="Q114" i="7"/>
  <c r="Q115" i="7"/>
  <c r="Q116" i="7"/>
  <c r="Z117" i="7"/>
  <c r="P120" i="7"/>
  <c r="P119" i="7" s="1"/>
  <c r="P118" i="7" s="1"/>
  <c r="P113" i="7" s="1"/>
  <c r="Z126" i="7"/>
  <c r="Q131" i="7"/>
  <c r="V131" i="7"/>
  <c r="AA131" i="7" s="1"/>
  <c r="Q136" i="7"/>
  <c r="V136" i="7"/>
  <c r="AA136" i="7" s="1"/>
  <c r="Z137" i="7"/>
  <c r="Z138" i="7"/>
  <c r="Z145" i="7"/>
  <c r="P146" i="7"/>
  <c r="P144" i="7" s="1"/>
  <c r="L151" i="7"/>
  <c r="V152" i="7"/>
  <c r="Q157" i="7"/>
  <c r="V157" i="7"/>
  <c r="AA157" i="7" s="1"/>
  <c r="Z158" i="7"/>
  <c r="Z159" i="7"/>
  <c r="Q161" i="7"/>
  <c r="V161" i="7"/>
  <c r="AA161" i="7" s="1"/>
  <c r="O139" i="7"/>
  <c r="Y139" i="7"/>
  <c r="V163" i="7"/>
  <c r="AA163" i="7" s="1"/>
  <c r="Q164" i="7"/>
  <c r="V164" i="7"/>
  <c r="AA164" i="7" s="1"/>
  <c r="Z165" i="7"/>
  <c r="Z166" i="7"/>
  <c r="V168" i="7"/>
  <c r="AA168" i="7" s="1"/>
  <c r="Z178" i="7"/>
  <c r="Z195" i="7"/>
  <c r="Z207" i="7"/>
  <c r="Z213" i="7"/>
  <c r="AB213" i="7" s="1"/>
  <c r="X222" i="7"/>
  <c r="X221" i="7" s="1"/>
  <c r="Z229" i="7"/>
  <c r="Z235" i="7"/>
  <c r="I222" i="7"/>
  <c r="I221" i="7" s="1"/>
  <c r="Z127" i="7"/>
  <c r="L120" i="7"/>
  <c r="L146" i="7"/>
  <c r="K144" i="7"/>
  <c r="K140" i="7" s="1"/>
  <c r="Z169" i="7"/>
  <c r="V169" i="7"/>
  <c r="AA169" i="7" s="1"/>
  <c r="Q169" i="7"/>
  <c r="V264" i="7"/>
  <c r="AA264" i="7" s="1"/>
  <c r="Q264" i="7"/>
  <c r="P263" i="7"/>
  <c r="Z263" i="7" s="1"/>
  <c r="Q53" i="7"/>
  <c r="Q58" i="7"/>
  <c r="Q63" i="7"/>
  <c r="V64" i="7"/>
  <c r="Q67" i="7"/>
  <c r="V70" i="7"/>
  <c r="AA70" i="7" s="1"/>
  <c r="Q71" i="7"/>
  <c r="V74" i="7"/>
  <c r="AA74" i="7" s="1"/>
  <c r="Q75" i="7"/>
  <c r="V82" i="7"/>
  <c r="AA82" i="7" s="1"/>
  <c r="V83" i="7"/>
  <c r="AA83" i="7" s="1"/>
  <c r="Q84" i="7"/>
  <c r="Q90" i="7"/>
  <c r="Q94" i="7"/>
  <c r="Q98" i="7"/>
  <c r="V99" i="7"/>
  <c r="AA99" i="7" s="1"/>
  <c r="Q100" i="7"/>
  <c r="Q105" i="7"/>
  <c r="Q108" i="7"/>
  <c r="V114" i="7"/>
  <c r="AA114" i="7" s="1"/>
  <c r="V115" i="7"/>
  <c r="AA115" i="7" s="1"/>
  <c r="V116" i="7"/>
  <c r="AA116" i="7" s="1"/>
  <c r="Q117" i="7"/>
  <c r="Q124" i="7"/>
  <c r="V124" i="7"/>
  <c r="AA124" i="7" s="1"/>
  <c r="Q127" i="7"/>
  <c r="V127" i="7"/>
  <c r="AA127" i="7" s="1"/>
  <c r="Q142" i="7"/>
  <c r="V142" i="7"/>
  <c r="AA142" i="7" s="1"/>
  <c r="P143" i="7"/>
  <c r="P141" i="7" s="1"/>
  <c r="Q145" i="7"/>
  <c r="Q148" i="7"/>
  <c r="V148" i="7"/>
  <c r="AA148" i="7" s="1"/>
  <c r="P149" i="7"/>
  <c r="P147" i="7" s="1"/>
  <c r="V156" i="7"/>
  <c r="AA156" i="7" s="1"/>
  <c r="Z156" i="7"/>
  <c r="V160" i="7"/>
  <c r="AA160" i="7" s="1"/>
  <c r="E140" i="7"/>
  <c r="E139" i="7" s="1"/>
  <c r="G140" i="7"/>
  <c r="G139" i="7" s="1"/>
  <c r="I139" i="7"/>
  <c r="Z163" i="7"/>
  <c r="Z167" i="7"/>
  <c r="Z168" i="7"/>
  <c r="U228" i="7"/>
  <c r="E222" i="7"/>
  <c r="E221" i="7" s="1"/>
  <c r="Z267" i="7"/>
  <c r="L266" i="7"/>
  <c r="V276" i="7"/>
  <c r="AA276" i="7" s="1"/>
  <c r="Q276" i="7"/>
  <c r="Q121" i="7"/>
  <c r="Q122" i="7"/>
  <c r="Q123" i="7"/>
  <c r="Q125" i="7"/>
  <c r="Q126" i="7"/>
  <c r="V137" i="7"/>
  <c r="AA137" i="7" s="1"/>
  <c r="Q138" i="7"/>
  <c r="V158" i="7"/>
  <c r="AA158" i="7" s="1"/>
  <c r="Q159" i="7"/>
  <c r="Q163" i="7"/>
  <c r="V165" i="7"/>
  <c r="V167" i="7"/>
  <c r="AA167" i="7" s="1"/>
  <c r="Q168" i="7"/>
  <c r="M169" i="7"/>
  <c r="Z170" i="7"/>
  <c r="Z173" i="7"/>
  <c r="AB173" i="7" s="1"/>
  <c r="P175" i="7"/>
  <c r="Q175" i="7" s="1"/>
  <c r="Q176" i="7"/>
  <c r="Z179" i="7"/>
  <c r="Q180" i="7"/>
  <c r="Q181" i="7"/>
  <c r="Q182" i="7"/>
  <c r="Q186" i="7"/>
  <c r="Z187" i="7"/>
  <c r="AB187" i="7" s="1"/>
  <c r="Z188" i="7"/>
  <c r="R189" i="7"/>
  <c r="Q191" i="7"/>
  <c r="Q190" i="7" s="1"/>
  <c r="Q195" i="7"/>
  <c r="Z196" i="7"/>
  <c r="L198" i="7"/>
  <c r="P198" i="7"/>
  <c r="P197" i="7" s="1"/>
  <c r="Z202" i="7"/>
  <c r="Q203" i="7"/>
  <c r="Z204" i="7"/>
  <c r="Q205" i="7"/>
  <c r="Z206" i="7"/>
  <c r="Q207" i="7"/>
  <c r="Z208" i="7"/>
  <c r="P210" i="7"/>
  <c r="V210" i="7" s="1"/>
  <c r="AA210" i="7" s="1"/>
  <c r="Q211" i="7"/>
  <c r="Q214" i="7"/>
  <c r="Q215" i="7"/>
  <c r="Q216" i="7"/>
  <c r="Z217" i="7"/>
  <c r="AB217" i="7" s="1"/>
  <c r="Q219" i="7"/>
  <c r="Z220" i="7"/>
  <c r="L223" i="7"/>
  <c r="R223" i="7"/>
  <c r="P224" i="7"/>
  <c r="V224" i="7" s="1"/>
  <c r="AA224" i="7" s="1"/>
  <c r="Q225" i="7"/>
  <c r="M226" i="7"/>
  <c r="M223" i="7" s="1"/>
  <c r="S228" i="7"/>
  <c r="Q229" i="7"/>
  <c r="Z230" i="7"/>
  <c r="P231" i="7"/>
  <c r="Q231" i="7" s="1"/>
  <c r="Q232" i="7"/>
  <c r="K233" i="7"/>
  <c r="Q235" i="7"/>
  <c r="Q236" i="7"/>
  <c r="K237" i="7"/>
  <c r="Q239" i="7"/>
  <c r="Z240" i="7"/>
  <c r="V242" i="7"/>
  <c r="AA242" i="7" s="1"/>
  <c r="L244" i="7"/>
  <c r="N244" i="7"/>
  <c r="N243" i="7" s="1"/>
  <c r="N228" i="7" s="1"/>
  <c r="N222" i="7" s="1"/>
  <c r="N221" i="7" s="1"/>
  <c r="Q245" i="7"/>
  <c r="Q246" i="7"/>
  <c r="V246" i="7"/>
  <c r="AA246" i="7" s="1"/>
  <c r="Z247" i="7"/>
  <c r="Z248" i="7"/>
  <c r="Q254" i="7"/>
  <c r="V254" i="7"/>
  <c r="AA254" i="7" s="1"/>
  <c r="Q255" i="7"/>
  <c r="V255" i="7"/>
  <c r="AA255" i="7" s="1"/>
  <c r="Q257" i="7"/>
  <c r="V258" i="7"/>
  <c r="AA258" i="7" s="1"/>
  <c r="Z258" i="7"/>
  <c r="V260" i="7"/>
  <c r="AA260" i="7" s="1"/>
  <c r="V261" i="7"/>
  <c r="AA261" i="7" s="1"/>
  <c r="M263" i="7"/>
  <c r="Z264" i="7"/>
  <c r="M266" i="7"/>
  <c r="M265" i="7" s="1"/>
  <c r="Q267" i="7"/>
  <c r="V267" i="7"/>
  <c r="AA267" i="7" s="1"/>
  <c r="P269" i="7"/>
  <c r="V269" i="7" s="1"/>
  <c r="AA269" i="7" s="1"/>
  <c r="Q271" i="7"/>
  <c r="V271" i="7"/>
  <c r="AA271" i="7" s="1"/>
  <c r="V279" i="7"/>
  <c r="AA279" i="7" s="1"/>
  <c r="V280" i="7"/>
  <c r="AA280" i="7" s="1"/>
  <c r="Z280" i="7"/>
  <c r="Z281" i="7"/>
  <c r="Z288" i="7"/>
  <c r="F310" i="7"/>
  <c r="J310" i="7"/>
  <c r="N310" i="7"/>
  <c r="X310" i="7"/>
  <c r="E310" i="7"/>
  <c r="I310" i="7"/>
  <c r="M310" i="7"/>
  <c r="Q322" i="7"/>
  <c r="W310" i="7"/>
  <c r="Y310" i="7"/>
  <c r="V268" i="7"/>
  <c r="AA268" i="7" s="1"/>
  <c r="Q268" i="7"/>
  <c r="Z272" i="7"/>
  <c r="V272" i="7"/>
  <c r="AA272" i="7" s="1"/>
  <c r="Q272" i="7"/>
  <c r="V285" i="7"/>
  <c r="AA285" i="7" s="1"/>
  <c r="Q285" i="7"/>
  <c r="Z285" i="7"/>
  <c r="Q170" i="7"/>
  <c r="Q173" i="7"/>
  <c r="V178" i="7"/>
  <c r="AA178" i="7" s="1"/>
  <c r="Q179" i="7"/>
  <c r="Q184" i="7"/>
  <c r="Q185" i="7"/>
  <c r="Q187" i="7"/>
  <c r="Q188" i="7"/>
  <c r="V193" i="7"/>
  <c r="V195" i="7"/>
  <c r="AA195" i="7" s="1"/>
  <c r="Q196" i="7"/>
  <c r="Q202" i="7"/>
  <c r="Q204" i="7"/>
  <c r="Q206" i="7"/>
  <c r="V207" i="7"/>
  <c r="AA207" i="7" s="1"/>
  <c r="Q208" i="7"/>
  <c r="V213" i="7"/>
  <c r="Q217" i="7"/>
  <c r="V219" i="7"/>
  <c r="AA219" i="7" s="1"/>
  <c r="Q220" i="7"/>
  <c r="V229" i="7"/>
  <c r="AA229" i="7" s="1"/>
  <c r="Q230" i="7"/>
  <c r="V235" i="7"/>
  <c r="V239" i="7"/>
  <c r="AA239" i="7" s="1"/>
  <c r="Q240" i="7"/>
  <c r="Q247" i="7"/>
  <c r="Q248" i="7"/>
  <c r="Q270" i="7"/>
  <c r="V270" i="7"/>
  <c r="AA270" i="7" s="1"/>
  <c r="Q273" i="7"/>
  <c r="V273" i="7"/>
  <c r="AA273" i="7" s="1"/>
  <c r="Q275" i="7"/>
  <c r="V275" i="7"/>
  <c r="AA275" i="7" s="1"/>
  <c r="Q277" i="7"/>
  <c r="V277" i="7"/>
  <c r="AA277" i="7" s="1"/>
  <c r="Z278" i="7"/>
  <c r="Z279" i="7"/>
  <c r="AA281" i="7"/>
  <c r="Q274" i="7"/>
  <c r="V278" i="7"/>
  <c r="AA278" i="7" s="1"/>
  <c r="Q279" i="7"/>
  <c r="K283" i="7"/>
  <c r="K282" i="7" s="1"/>
  <c r="K262" i="7" s="1"/>
  <c r="M283" i="7"/>
  <c r="M282" i="7" s="1"/>
  <c r="S283" i="7"/>
  <c r="S282" i="7" s="1"/>
  <c r="U282" i="7" s="1"/>
  <c r="Q284" i="7"/>
  <c r="V284" i="7"/>
  <c r="AA284" i="7" s="1"/>
  <c r="R286" i="7"/>
  <c r="U286" i="7" s="1"/>
  <c r="L287" i="7"/>
  <c r="Q288" i="7"/>
  <c r="V288" i="7"/>
  <c r="AA288" i="7" s="1"/>
  <c r="Q289" i="7"/>
  <c r="Z290" i="7"/>
  <c r="P291" i="7"/>
  <c r="Q291" i="7" s="1"/>
  <c r="Q292" i="7"/>
  <c r="L294" i="7"/>
  <c r="V295" i="7"/>
  <c r="AA295" i="7" s="1"/>
  <c r="Z295" i="7"/>
  <c r="L299" i="7"/>
  <c r="P299" i="7"/>
  <c r="P298" i="7" s="1"/>
  <c r="P297" i="7" s="1"/>
  <c r="P296" i="7" s="1"/>
  <c r="Z300" i="7"/>
  <c r="Q301" i="7"/>
  <c r="Z304" i="7"/>
  <c r="Q305" i="7"/>
  <c r="Z306" i="7"/>
  <c r="Q307" i="7"/>
  <c r="Z308" i="7"/>
  <c r="P312" i="7"/>
  <c r="P311" i="7" s="1"/>
  <c r="P310" i="7" s="1"/>
  <c r="Q313" i="7"/>
  <c r="Q312" i="7" s="1"/>
  <c r="Q311" i="7" s="1"/>
  <c r="L318" i="7"/>
  <c r="L310" i="7" s="1"/>
  <c r="R318" i="7"/>
  <c r="S319" i="7"/>
  <c r="S318" i="7" s="1"/>
  <c r="S322" i="7"/>
  <c r="V327" i="7"/>
  <c r="AA327" i="7" s="1"/>
  <c r="V328" i="7"/>
  <c r="AA328" i="7" s="1"/>
  <c r="V329" i="7"/>
  <c r="AA329" i="7" s="1"/>
  <c r="V330" i="7"/>
  <c r="AA330" i="7" s="1"/>
  <c r="Q290" i="7"/>
  <c r="Q300" i="7"/>
  <c r="V303" i="7"/>
  <c r="AA303" i="7" s="1"/>
  <c r="Q304" i="7"/>
  <c r="Q306" i="7"/>
  <c r="Q308" i="7"/>
  <c r="V314" i="7"/>
  <c r="V316" i="7"/>
  <c r="AA316" i="7" s="1"/>
  <c r="Q317" i="7"/>
  <c r="Q316" i="7" s="1"/>
  <c r="Q315" i="7" s="1"/>
  <c r="Q314" i="7" s="1"/>
  <c r="V325" i="7"/>
  <c r="AA325" i="7" s="1"/>
  <c r="J140" i="7" l="1"/>
  <c r="AC284" i="7"/>
  <c r="AB284" i="7"/>
  <c r="O222" i="7"/>
  <c r="O221" i="7" s="1"/>
  <c r="Q226" i="7"/>
  <c r="W139" i="7"/>
  <c r="S310" i="7"/>
  <c r="U147" i="7"/>
  <c r="U140" i="7" s="1"/>
  <c r="AC306" i="7"/>
  <c r="AB306" i="7"/>
  <c r="AC300" i="7"/>
  <c r="AB300" i="7"/>
  <c r="AC290" i="7"/>
  <c r="AB290" i="7"/>
  <c r="AC285" i="7"/>
  <c r="AB285" i="7"/>
  <c r="AC288" i="7"/>
  <c r="AB288" i="7"/>
  <c r="AC248" i="7"/>
  <c r="AB248" i="7"/>
  <c r="AC196" i="7"/>
  <c r="AB196" i="7"/>
  <c r="AC170" i="7"/>
  <c r="AB170" i="7"/>
  <c r="AC295" i="7"/>
  <c r="AB295" i="7"/>
  <c r="AC278" i="7"/>
  <c r="AB278" i="7"/>
  <c r="AC272" i="7"/>
  <c r="AB272" i="7"/>
  <c r="AC281" i="7"/>
  <c r="AB281" i="7"/>
  <c r="AC264" i="7"/>
  <c r="AB264" i="7"/>
  <c r="AC258" i="7"/>
  <c r="AB258" i="7"/>
  <c r="AC247" i="7"/>
  <c r="AB247" i="7"/>
  <c r="AC220" i="7"/>
  <c r="AB220" i="7"/>
  <c r="AC208" i="7"/>
  <c r="AB208" i="7"/>
  <c r="AC206" i="7"/>
  <c r="AB206" i="7"/>
  <c r="AC204" i="7"/>
  <c r="AB204" i="7"/>
  <c r="AC202" i="7"/>
  <c r="AB202" i="7"/>
  <c r="AC173" i="7"/>
  <c r="AC168" i="7"/>
  <c r="AB168" i="7"/>
  <c r="AC163" i="7"/>
  <c r="AB163" i="7"/>
  <c r="AC169" i="7"/>
  <c r="AB169" i="7"/>
  <c r="AC127" i="7"/>
  <c r="AB127" i="7"/>
  <c r="AC235" i="7"/>
  <c r="AB235" i="7"/>
  <c r="AC207" i="7"/>
  <c r="AB207" i="7"/>
  <c r="AC178" i="7"/>
  <c r="AB178" i="7"/>
  <c r="AC166" i="7"/>
  <c r="AB166" i="7"/>
  <c r="AC159" i="7"/>
  <c r="AB159" i="7"/>
  <c r="AC145" i="7"/>
  <c r="AB145" i="7"/>
  <c r="AC137" i="7"/>
  <c r="AB137" i="7"/>
  <c r="AC100" i="7"/>
  <c r="AB100" i="7"/>
  <c r="AC71" i="7"/>
  <c r="AB71" i="7"/>
  <c r="AC58" i="7"/>
  <c r="AB58" i="7"/>
  <c r="AC53" i="7"/>
  <c r="AB53" i="7"/>
  <c r="AC249" i="7"/>
  <c r="AB249" i="7"/>
  <c r="AC238" i="7"/>
  <c r="AB238" i="7"/>
  <c r="AC234" i="7"/>
  <c r="AB234" i="7"/>
  <c r="AC174" i="7"/>
  <c r="AB174" i="7"/>
  <c r="AC171" i="7"/>
  <c r="AB171" i="7"/>
  <c r="AC164" i="7"/>
  <c r="AB164" i="7"/>
  <c r="AC136" i="7"/>
  <c r="AB136" i="7"/>
  <c r="AC131" i="7"/>
  <c r="AB131" i="7"/>
  <c r="AC42" i="7"/>
  <c r="AB42" i="7"/>
  <c r="AC115" i="7"/>
  <c r="AB115" i="7"/>
  <c r="AC64" i="7"/>
  <c r="AB64" i="7"/>
  <c r="AC21" i="7"/>
  <c r="AB21" i="7"/>
  <c r="AC47" i="7"/>
  <c r="AB47" i="7"/>
  <c r="AC36" i="7"/>
  <c r="AB36" i="7"/>
  <c r="AC24" i="7"/>
  <c r="AB24" i="7"/>
  <c r="AC16" i="7"/>
  <c r="AB16" i="7"/>
  <c r="AC35" i="7"/>
  <c r="AB35" i="7"/>
  <c r="AC73" i="7"/>
  <c r="AB73" i="7"/>
  <c r="AC18" i="7"/>
  <c r="AB18" i="7"/>
  <c r="AC60" i="7"/>
  <c r="AB60" i="7"/>
  <c r="AC38" i="7"/>
  <c r="AB38" i="7"/>
  <c r="AC123" i="7"/>
  <c r="AB123" i="7"/>
  <c r="AC112" i="7"/>
  <c r="AB112" i="7"/>
  <c r="AC93" i="7"/>
  <c r="AB93" i="7"/>
  <c r="AC83" i="7"/>
  <c r="AB83" i="7"/>
  <c r="AC276" i="7"/>
  <c r="AB276" i="7"/>
  <c r="AC271" i="7"/>
  <c r="AB271" i="7"/>
  <c r="AC268" i="7"/>
  <c r="AB268" i="7"/>
  <c r="AC254" i="7"/>
  <c r="AB254" i="7"/>
  <c r="AA185" i="7"/>
  <c r="V183" i="7"/>
  <c r="AA183" i="7" s="1"/>
  <c r="AC160" i="7"/>
  <c r="AB160" i="7"/>
  <c r="AC157" i="7"/>
  <c r="AB157" i="7"/>
  <c r="AC148" i="7"/>
  <c r="AB148" i="7"/>
  <c r="AC236" i="7"/>
  <c r="AB236" i="7"/>
  <c r="AC215" i="7"/>
  <c r="AB215" i="7"/>
  <c r="Z190" i="7"/>
  <c r="AC191" i="7"/>
  <c r="AB191" i="7"/>
  <c r="AC99" i="7"/>
  <c r="AB99" i="7"/>
  <c r="AC70" i="7"/>
  <c r="AB70" i="7"/>
  <c r="AC45" i="7"/>
  <c r="AB45" i="7"/>
  <c r="AC32" i="7"/>
  <c r="AB32" i="7"/>
  <c r="AC25" i="7"/>
  <c r="AB25" i="7"/>
  <c r="AC14" i="7"/>
  <c r="AB14" i="7"/>
  <c r="AC292" i="7"/>
  <c r="AB292" i="7"/>
  <c r="AC114" i="7"/>
  <c r="AB114" i="7"/>
  <c r="AC176" i="7"/>
  <c r="AB176" i="7"/>
  <c r="AC17" i="7"/>
  <c r="AB17" i="7"/>
  <c r="AC23" i="7"/>
  <c r="AB23" i="7"/>
  <c r="AC257" i="7"/>
  <c r="AB257" i="7"/>
  <c r="AC253" i="7"/>
  <c r="AB253" i="7"/>
  <c r="AC251" i="7"/>
  <c r="AB251" i="7"/>
  <c r="AC246" i="7"/>
  <c r="AB246" i="7"/>
  <c r="AC275" i="7"/>
  <c r="AB275" i="7"/>
  <c r="AC78" i="7"/>
  <c r="AB78" i="7"/>
  <c r="AC322" i="7"/>
  <c r="AB322" i="7"/>
  <c r="AC273" i="7"/>
  <c r="AB273" i="7"/>
  <c r="AC318" i="7"/>
  <c r="AB318" i="7"/>
  <c r="AC185" i="7"/>
  <c r="AB185" i="7"/>
  <c r="Q183" i="7"/>
  <c r="Z310" i="7"/>
  <c r="AC308" i="7"/>
  <c r="AB308" i="7"/>
  <c r="AC304" i="7"/>
  <c r="AB304" i="7"/>
  <c r="AC279" i="7"/>
  <c r="AB279" i="7"/>
  <c r="AC280" i="7"/>
  <c r="AB280" i="7"/>
  <c r="AC240" i="7"/>
  <c r="AB240" i="7"/>
  <c r="AC230" i="7"/>
  <c r="AB230" i="7"/>
  <c r="AC188" i="7"/>
  <c r="AB188" i="7"/>
  <c r="AC179" i="7"/>
  <c r="AB179" i="7"/>
  <c r="AC267" i="7"/>
  <c r="AB267" i="7"/>
  <c r="AC167" i="7"/>
  <c r="AB167" i="7"/>
  <c r="AC156" i="7"/>
  <c r="AB156" i="7"/>
  <c r="AC263" i="7"/>
  <c r="AB263" i="7"/>
  <c r="AC229" i="7"/>
  <c r="AB229" i="7"/>
  <c r="AC195" i="7"/>
  <c r="AB195" i="7"/>
  <c r="AC165" i="7"/>
  <c r="AB165" i="7"/>
  <c r="AC158" i="7"/>
  <c r="AB158" i="7"/>
  <c r="AC138" i="7"/>
  <c r="AB138" i="7"/>
  <c r="AC126" i="7"/>
  <c r="AB126" i="7"/>
  <c r="AC117" i="7"/>
  <c r="AB117" i="7"/>
  <c r="AC108" i="7"/>
  <c r="AB108" i="7"/>
  <c r="AC105" i="7"/>
  <c r="AB105" i="7"/>
  <c r="AC90" i="7"/>
  <c r="AB90" i="7"/>
  <c r="AC84" i="7"/>
  <c r="AB84" i="7"/>
  <c r="AC75" i="7"/>
  <c r="AB75" i="7"/>
  <c r="AC72" i="7"/>
  <c r="AB72" i="7"/>
  <c r="AC67" i="7"/>
  <c r="AB67" i="7"/>
  <c r="AC63" i="7"/>
  <c r="AB63" i="7"/>
  <c r="AC59" i="7"/>
  <c r="AB59" i="7"/>
  <c r="AC227" i="7"/>
  <c r="AB227" i="7"/>
  <c r="AC82" i="7"/>
  <c r="AB82" i="7"/>
  <c r="AC41" i="7"/>
  <c r="AB41" i="7"/>
  <c r="AC48" i="7"/>
  <c r="AB48" i="7"/>
  <c r="AC43" i="7"/>
  <c r="AB43" i="7"/>
  <c r="AC26" i="7"/>
  <c r="AB26" i="7"/>
  <c r="AC22" i="7"/>
  <c r="AB22" i="7"/>
  <c r="AC40" i="7"/>
  <c r="AB40" i="7"/>
  <c r="AC74" i="7"/>
  <c r="AB74" i="7"/>
  <c r="AC56" i="7"/>
  <c r="AB56" i="7"/>
  <c r="AC65" i="7"/>
  <c r="AB65" i="7"/>
  <c r="AC51" i="7"/>
  <c r="AB51" i="7"/>
  <c r="AC28" i="7"/>
  <c r="AB28" i="7"/>
  <c r="AC125" i="7"/>
  <c r="AB125" i="7"/>
  <c r="AC107" i="7"/>
  <c r="AB107" i="7"/>
  <c r="AC97" i="7"/>
  <c r="AB97" i="7"/>
  <c r="AC89" i="7"/>
  <c r="AB89" i="7"/>
  <c r="AC104" i="7"/>
  <c r="AB104" i="7"/>
  <c r="AC307" i="7"/>
  <c r="AB307" i="7"/>
  <c r="AC305" i="7"/>
  <c r="AB305" i="7"/>
  <c r="AC289" i="7"/>
  <c r="AB289" i="7"/>
  <c r="AC277" i="7"/>
  <c r="AB277" i="7"/>
  <c r="AC270" i="7"/>
  <c r="AB270" i="7"/>
  <c r="AC239" i="7"/>
  <c r="AB239" i="7"/>
  <c r="AC225" i="7"/>
  <c r="AB225" i="7"/>
  <c r="AC211" i="7"/>
  <c r="AB211" i="7"/>
  <c r="AC205" i="7"/>
  <c r="AB205" i="7"/>
  <c r="AC203" i="7"/>
  <c r="AB203" i="7"/>
  <c r="AC186" i="7"/>
  <c r="AB186" i="7"/>
  <c r="AC161" i="7"/>
  <c r="AB161" i="7"/>
  <c r="AC124" i="7"/>
  <c r="AB124" i="7"/>
  <c r="AC116" i="7"/>
  <c r="AB116" i="7"/>
  <c r="AC182" i="7"/>
  <c r="AB182" i="7"/>
  <c r="AC153" i="7"/>
  <c r="AB153" i="7"/>
  <c r="AC142" i="7"/>
  <c r="AB142" i="7"/>
  <c r="AC52" i="7"/>
  <c r="AB52" i="7"/>
  <c r="AC33" i="7"/>
  <c r="AB33" i="7"/>
  <c r="AC301" i="7"/>
  <c r="AB301" i="7"/>
  <c r="AC152" i="7"/>
  <c r="AB152" i="7"/>
  <c r="AC15" i="7"/>
  <c r="AB15" i="7"/>
  <c r="AC122" i="7"/>
  <c r="AB122" i="7"/>
  <c r="AC255" i="7"/>
  <c r="AB255" i="7"/>
  <c r="AC252" i="7"/>
  <c r="AB252" i="7"/>
  <c r="AC250" i="7"/>
  <c r="AB250" i="7"/>
  <c r="AC245" i="7"/>
  <c r="AB245" i="7"/>
  <c r="AC232" i="7"/>
  <c r="AB232" i="7"/>
  <c r="AC199" i="7"/>
  <c r="AB199" i="7"/>
  <c r="AC274" i="7"/>
  <c r="AB274" i="7"/>
  <c r="AC256" i="7"/>
  <c r="AB256" i="7"/>
  <c r="AC323" i="7"/>
  <c r="AB323" i="7"/>
  <c r="H314" i="7"/>
  <c r="AA314" i="7" s="1"/>
  <c r="AC315" i="7"/>
  <c r="AB315" i="7"/>
  <c r="K139" i="7"/>
  <c r="P140" i="7"/>
  <c r="M140" i="7"/>
  <c r="M139" i="7" s="1"/>
  <c r="Z183" i="7"/>
  <c r="H222" i="7"/>
  <c r="H221" i="7" s="1"/>
  <c r="S54" i="7"/>
  <c r="U54" i="7" s="1"/>
  <c r="Z269" i="7"/>
  <c r="V263" i="7"/>
  <c r="AA263" i="7" s="1"/>
  <c r="Q263" i="7"/>
  <c r="Z226" i="7"/>
  <c r="O68" i="7"/>
  <c r="O11" i="7" s="1"/>
  <c r="O309" i="7" s="1"/>
  <c r="P30" i="7"/>
  <c r="P29" i="7" s="1"/>
  <c r="U134" i="7"/>
  <c r="U46" i="7"/>
  <c r="U128" i="7"/>
  <c r="Z147" i="7"/>
  <c r="H139" i="7"/>
  <c r="H11" i="7" s="1"/>
  <c r="H309" i="7" s="1"/>
  <c r="Q283" i="7"/>
  <c r="G222" i="7"/>
  <c r="G221" i="7" s="1"/>
  <c r="F222" i="7"/>
  <c r="F221" i="7" s="1"/>
  <c r="V315" i="7"/>
  <c r="AA315" i="7" s="1"/>
  <c r="V289" i="7"/>
  <c r="AA289" i="7" s="1"/>
  <c r="V241" i="7"/>
  <c r="AA241" i="7" s="1"/>
  <c r="V111" i="7"/>
  <c r="AA111" i="7" s="1"/>
  <c r="Q74" i="7"/>
  <c r="V55" i="7"/>
  <c r="AA55" i="7" s="1"/>
  <c r="V52" i="7"/>
  <c r="AA52" i="7" s="1"/>
  <c r="P177" i="7"/>
  <c r="Q177" i="7" s="1"/>
  <c r="D139" i="7"/>
  <c r="D11" i="7" s="1"/>
  <c r="D309" i="7" s="1"/>
  <c r="Y68" i="7"/>
  <c r="Y11" i="7" s="1"/>
  <c r="M68" i="7"/>
  <c r="I68" i="7"/>
  <c r="E68" i="7"/>
  <c r="E11" i="7" s="1"/>
  <c r="E309" i="7" s="1"/>
  <c r="S68" i="7"/>
  <c r="K68" i="7"/>
  <c r="Z50" i="7"/>
  <c r="J139" i="7"/>
  <c r="J11" i="7" s="1"/>
  <c r="J309" i="7" s="1"/>
  <c r="W68" i="7"/>
  <c r="W11" i="7" s="1"/>
  <c r="W309" i="7" s="1"/>
  <c r="G68" i="7"/>
  <c r="G11" i="7" s="1"/>
  <c r="G309" i="7" s="1"/>
  <c r="I11" i="7"/>
  <c r="I309" i="7" s="1"/>
  <c r="V59" i="7"/>
  <c r="AA59" i="7" s="1"/>
  <c r="K228" i="7"/>
  <c r="K222" i="7" s="1"/>
  <c r="K221" i="7" s="1"/>
  <c r="Z27" i="7"/>
  <c r="Z241" i="7"/>
  <c r="T139" i="7"/>
  <c r="T11" i="7" s="1"/>
  <c r="T222" i="7"/>
  <c r="T221" i="7" s="1"/>
  <c r="U324" i="7"/>
  <c r="R323" i="7"/>
  <c r="Z303" i="7"/>
  <c r="L302" i="7"/>
  <c r="Z219" i="7"/>
  <c r="L218" i="7"/>
  <c r="U218" i="7"/>
  <c r="R212" i="7"/>
  <c r="U212" i="7" s="1"/>
  <c r="U197" i="7"/>
  <c r="S189" i="7"/>
  <c r="S139" i="7" s="1"/>
  <c r="X139" i="7"/>
  <c r="X11" i="7" s="1"/>
  <c r="X309" i="7" s="1"/>
  <c r="F139" i="7"/>
  <c r="F11" i="7" s="1"/>
  <c r="U177" i="7"/>
  <c r="AA191" i="7"/>
  <c r="V190" i="7"/>
  <c r="AA190" i="7" s="1"/>
  <c r="Q244" i="7"/>
  <c r="M262" i="7"/>
  <c r="M222" i="7" s="1"/>
  <c r="M221" i="7" s="1"/>
  <c r="V175" i="7"/>
  <c r="AA175" i="7" s="1"/>
  <c r="V149" i="7"/>
  <c r="AA149" i="7" s="1"/>
  <c r="Z149" i="7"/>
  <c r="V147" i="7"/>
  <c r="AA147" i="7" s="1"/>
  <c r="V72" i="7"/>
  <c r="AA72" i="7" s="1"/>
  <c r="Q147" i="7"/>
  <c r="N11" i="7"/>
  <c r="N309" i="7" s="1"/>
  <c r="Y222" i="7"/>
  <c r="Y221" i="7" s="1"/>
  <c r="Q62" i="7"/>
  <c r="V47" i="7"/>
  <c r="AA47" i="7" s="1"/>
  <c r="U29" i="7"/>
  <c r="P19" i="7"/>
  <c r="Q20" i="7"/>
  <c r="Q294" i="7"/>
  <c r="Q293" i="7" s="1"/>
  <c r="Z294" i="7"/>
  <c r="V294" i="7"/>
  <c r="AA294" i="7" s="1"/>
  <c r="L293" i="7"/>
  <c r="Q287" i="7"/>
  <c r="Q286" i="7" s="1"/>
  <c r="Z287" i="7"/>
  <c r="V287" i="7"/>
  <c r="AA287" i="7" s="1"/>
  <c r="AA235" i="7"/>
  <c r="Z244" i="7"/>
  <c r="V244" i="7"/>
  <c r="AA244" i="7" s="1"/>
  <c r="L243" i="7"/>
  <c r="U223" i="7"/>
  <c r="R222" i="7"/>
  <c r="Q210" i="7"/>
  <c r="P209" i="7"/>
  <c r="Z198" i="7"/>
  <c r="V198" i="7"/>
  <c r="AA198" i="7" s="1"/>
  <c r="L197" i="7"/>
  <c r="Q282" i="7"/>
  <c r="V282" i="7"/>
  <c r="AA282" i="7" s="1"/>
  <c r="Z282" i="7"/>
  <c r="Z120" i="7"/>
  <c r="V120" i="7"/>
  <c r="AA120" i="7" s="1"/>
  <c r="L119" i="7"/>
  <c r="V151" i="7"/>
  <c r="AA151" i="7" s="1"/>
  <c r="L150" i="7"/>
  <c r="Q151" i="7"/>
  <c r="Z151" i="7"/>
  <c r="Q111" i="7"/>
  <c r="P110" i="7"/>
  <c r="Q106" i="7"/>
  <c r="Z106" i="7"/>
  <c r="V106" i="7"/>
  <c r="AA106" i="7" s="1"/>
  <c r="Z96" i="7"/>
  <c r="V96" i="7"/>
  <c r="AA96" i="7" s="1"/>
  <c r="U91" i="7"/>
  <c r="R85" i="7"/>
  <c r="R68" i="7" s="1"/>
  <c r="Q88" i="7"/>
  <c r="Z88" i="7"/>
  <c r="V88" i="7"/>
  <c r="AA88" i="7" s="1"/>
  <c r="L87" i="7"/>
  <c r="Q77" i="7"/>
  <c r="P76" i="7"/>
  <c r="Q72" i="7"/>
  <c r="P69" i="7"/>
  <c r="Q66" i="7"/>
  <c r="Z66" i="7"/>
  <c r="V66" i="7"/>
  <c r="U62" i="7"/>
  <c r="V62" i="7" s="1"/>
  <c r="R61" i="7"/>
  <c r="U61" i="7" s="1"/>
  <c r="Q59" i="7"/>
  <c r="P57" i="7"/>
  <c r="Q55" i="7"/>
  <c r="P54" i="7"/>
  <c r="Q54" i="7" s="1"/>
  <c r="Z233" i="7"/>
  <c r="V233" i="7"/>
  <c r="AA233" i="7" s="1"/>
  <c r="Q233" i="7"/>
  <c r="Q13" i="7"/>
  <c r="L12" i="7"/>
  <c r="Z13" i="7"/>
  <c r="V13" i="7"/>
  <c r="AA13" i="7" s="1"/>
  <c r="Z34" i="7"/>
  <c r="V34" i="7"/>
  <c r="AA34" i="7" s="1"/>
  <c r="Q34" i="7"/>
  <c r="Z39" i="7"/>
  <c r="V39" i="7"/>
  <c r="Q39" i="7"/>
  <c r="U318" i="7"/>
  <c r="V312" i="7"/>
  <c r="AA312" i="7" s="1"/>
  <c r="V311" i="7"/>
  <c r="AA311" i="7" s="1"/>
  <c r="V291" i="7"/>
  <c r="AA291" i="7" s="1"/>
  <c r="L286" i="7"/>
  <c r="Z291" i="7"/>
  <c r="U283" i="7"/>
  <c r="P266" i="7"/>
  <c r="P265" i="7" s="1"/>
  <c r="P262" i="7" s="1"/>
  <c r="Q198" i="7"/>
  <c r="Q269" i="7"/>
  <c r="S262" i="7"/>
  <c r="V231" i="7"/>
  <c r="AA231" i="7" s="1"/>
  <c r="Q213" i="7"/>
  <c r="Q120" i="7"/>
  <c r="Z175" i="7"/>
  <c r="Z143" i="7"/>
  <c r="Q99" i="7"/>
  <c r="Q149" i="7"/>
  <c r="Q143" i="7"/>
  <c r="Z210" i="7"/>
  <c r="V141" i="7"/>
  <c r="AA141" i="7" s="1"/>
  <c r="L103" i="7"/>
  <c r="Q96" i="7"/>
  <c r="P91" i="7"/>
  <c r="P85" i="7" s="1"/>
  <c r="Z77" i="7"/>
  <c r="Z111" i="7"/>
  <c r="Z55" i="7"/>
  <c r="V27" i="7"/>
  <c r="AA27" i="7" s="1"/>
  <c r="Q27" i="7"/>
  <c r="Q299" i="7"/>
  <c r="Z299" i="7"/>
  <c r="V299" i="7"/>
  <c r="AA299" i="7" s="1"/>
  <c r="L298" i="7"/>
  <c r="Q224" i="7"/>
  <c r="Q223" i="7" s="1"/>
  <c r="P223" i="7"/>
  <c r="P189" i="7"/>
  <c r="L265" i="7"/>
  <c r="V146" i="7"/>
  <c r="AA146" i="7" s="1"/>
  <c r="Q146" i="7"/>
  <c r="L144" i="7"/>
  <c r="Z146" i="7"/>
  <c r="R139" i="7"/>
  <c r="Z92" i="7"/>
  <c r="V92" i="7"/>
  <c r="AA92" i="7" s="1"/>
  <c r="L91" i="7"/>
  <c r="L61" i="7"/>
  <c r="Z237" i="7"/>
  <c r="V237" i="7"/>
  <c r="AA237" i="7" s="1"/>
  <c r="Q237" i="7"/>
  <c r="Z172" i="7"/>
  <c r="V172" i="7"/>
  <c r="AA172" i="7" s="1"/>
  <c r="Q172" i="7"/>
  <c r="Z162" i="7"/>
  <c r="V162" i="7"/>
  <c r="Q162" i="7"/>
  <c r="Z135" i="7"/>
  <c r="V135" i="7"/>
  <c r="AA135" i="7" s="1"/>
  <c r="L134" i="7"/>
  <c r="Q135" i="7"/>
  <c r="Z130" i="7"/>
  <c r="V130" i="7"/>
  <c r="AA130" i="7" s="1"/>
  <c r="L129" i="7"/>
  <c r="L128" i="7" s="1"/>
  <c r="Q130" i="7"/>
  <c r="Q49" i="7"/>
  <c r="L46" i="7"/>
  <c r="Z49" i="7"/>
  <c r="V49" i="7"/>
  <c r="AA49" i="7" s="1"/>
  <c r="Q44" i="7"/>
  <c r="Z44" i="7"/>
  <c r="V44" i="7"/>
  <c r="AA44" i="7" s="1"/>
  <c r="Q31" i="7"/>
  <c r="Z31" i="7"/>
  <c r="V31" i="7"/>
  <c r="AA31" i="7" s="1"/>
  <c r="L30" i="7"/>
  <c r="L29" i="7" s="1"/>
  <c r="U20" i="7"/>
  <c r="Z20" i="7" s="1"/>
  <c r="R19" i="7"/>
  <c r="U19" i="7" s="1"/>
  <c r="U12" i="7"/>
  <c r="Q310" i="7"/>
  <c r="U319" i="7"/>
  <c r="P286" i="7"/>
  <c r="Q178" i="7"/>
  <c r="Q141" i="7"/>
  <c r="V143" i="7"/>
  <c r="AA143" i="7" s="1"/>
  <c r="Z231" i="7"/>
  <c r="Z224" i="7"/>
  <c r="Q92" i="7"/>
  <c r="P228" i="7"/>
  <c r="Z141" i="7"/>
  <c r="U69" i="7"/>
  <c r="L140" i="7" l="1"/>
  <c r="K11" i="7"/>
  <c r="AC141" i="7"/>
  <c r="AB141" i="7"/>
  <c r="AC231" i="7"/>
  <c r="AB231" i="7"/>
  <c r="AC31" i="7"/>
  <c r="AB31" i="7"/>
  <c r="AC49" i="7"/>
  <c r="AB49" i="7"/>
  <c r="AC130" i="7"/>
  <c r="AB130" i="7"/>
  <c r="AC172" i="7"/>
  <c r="AB172" i="7"/>
  <c r="AC111" i="7"/>
  <c r="AB111" i="7"/>
  <c r="AC143" i="7"/>
  <c r="AB143" i="7"/>
  <c r="AC291" i="7"/>
  <c r="AB291" i="7"/>
  <c r="AC233" i="7"/>
  <c r="AB233" i="7"/>
  <c r="AC66" i="7"/>
  <c r="AB66" i="7"/>
  <c r="AC282" i="7"/>
  <c r="AB282" i="7"/>
  <c r="AC224" i="7"/>
  <c r="AB224" i="7"/>
  <c r="AC20" i="7"/>
  <c r="AB20" i="7"/>
  <c r="AC44" i="7"/>
  <c r="AB44" i="7"/>
  <c r="AC162" i="7"/>
  <c r="AB162" i="7"/>
  <c r="AC237" i="7"/>
  <c r="AB237" i="7"/>
  <c r="AC92" i="7"/>
  <c r="AB92" i="7"/>
  <c r="AC146" i="7"/>
  <c r="AB146" i="7"/>
  <c r="AC299" i="7"/>
  <c r="AB299" i="7"/>
  <c r="AC55" i="7"/>
  <c r="AB55" i="7"/>
  <c r="AC77" i="7"/>
  <c r="AB77" i="7"/>
  <c r="AC175" i="7"/>
  <c r="AB175" i="7"/>
  <c r="AC34" i="7"/>
  <c r="AB34" i="7"/>
  <c r="AC13" i="7"/>
  <c r="AB13" i="7"/>
  <c r="AC96" i="7"/>
  <c r="AB96" i="7"/>
  <c r="AC106" i="7"/>
  <c r="AB106" i="7"/>
  <c r="AC151" i="7"/>
  <c r="AB151" i="7"/>
  <c r="AC120" i="7"/>
  <c r="AB120" i="7"/>
  <c r="AC198" i="7"/>
  <c r="AB198" i="7"/>
  <c r="AC287" i="7"/>
  <c r="AB287" i="7"/>
  <c r="AC294" i="7"/>
  <c r="AB294" i="7"/>
  <c r="AC219" i="7"/>
  <c r="AB219" i="7"/>
  <c r="AC303" i="7"/>
  <c r="AB303" i="7"/>
  <c r="AC241" i="7"/>
  <c r="AB241" i="7"/>
  <c r="AC269" i="7"/>
  <c r="AB269" i="7"/>
  <c r="AC314" i="7"/>
  <c r="AB314" i="7"/>
  <c r="H310" i="7"/>
  <c r="AB310" i="7" s="1"/>
  <c r="AC190" i="7"/>
  <c r="AB190" i="7"/>
  <c r="U189" i="7"/>
  <c r="F309" i="7"/>
  <c r="K309" i="7"/>
  <c r="M11" i="7"/>
  <c r="M309" i="7" s="1"/>
  <c r="AC135" i="7"/>
  <c r="AB135" i="7"/>
  <c r="AC210" i="7"/>
  <c r="AB210" i="7"/>
  <c r="AC39" i="7"/>
  <c r="AB39" i="7"/>
  <c r="AC88" i="7"/>
  <c r="AB88" i="7"/>
  <c r="AC244" i="7"/>
  <c r="AB244" i="7"/>
  <c r="AC149" i="7"/>
  <c r="AB149" i="7"/>
  <c r="AC27" i="7"/>
  <c r="AB27" i="7"/>
  <c r="AC50" i="7"/>
  <c r="AB50" i="7"/>
  <c r="AC147" i="7"/>
  <c r="AB147" i="7"/>
  <c r="AC226" i="7"/>
  <c r="AB226" i="7"/>
  <c r="AC183" i="7"/>
  <c r="AB183" i="7"/>
  <c r="AC310" i="7"/>
  <c r="AA162" i="7"/>
  <c r="P139" i="7"/>
  <c r="V177" i="7"/>
  <c r="AA177" i="7" s="1"/>
  <c r="Z223" i="7"/>
  <c r="V54" i="7"/>
  <c r="AA54" i="7" s="1"/>
  <c r="U139" i="7"/>
  <c r="Q266" i="7"/>
  <c r="V266" i="7"/>
  <c r="AA266" i="7" s="1"/>
  <c r="V318" i="7"/>
  <c r="S11" i="7"/>
  <c r="T309" i="7"/>
  <c r="Z54" i="7"/>
  <c r="Y309" i="7"/>
  <c r="V324" i="7"/>
  <c r="AA324" i="7" s="1"/>
  <c r="Z62" i="7"/>
  <c r="Z266" i="7"/>
  <c r="V223" i="7"/>
  <c r="AA223" i="7" s="1"/>
  <c r="Z177" i="7"/>
  <c r="L212" i="7"/>
  <c r="Q218" i="7"/>
  <c r="V218" i="7"/>
  <c r="AA218" i="7" s="1"/>
  <c r="Z218" i="7"/>
  <c r="Z302" i="7"/>
  <c r="Q302" i="7"/>
  <c r="V302" i="7"/>
  <c r="AA302" i="7" s="1"/>
  <c r="U323" i="7"/>
  <c r="R322" i="7"/>
  <c r="P68" i="7"/>
  <c r="AA39" i="7"/>
  <c r="Z46" i="7"/>
  <c r="V46" i="7"/>
  <c r="AA46" i="7" s="1"/>
  <c r="Q46" i="7"/>
  <c r="Q91" i="7"/>
  <c r="Z91" i="7"/>
  <c r="V91" i="7"/>
  <c r="AA91" i="7" s="1"/>
  <c r="Q144" i="7"/>
  <c r="Z144" i="7"/>
  <c r="V144" i="7"/>
  <c r="AA144" i="7" s="1"/>
  <c r="Z265" i="7"/>
  <c r="V265" i="7"/>
  <c r="AA265" i="7" s="1"/>
  <c r="Q265" i="7"/>
  <c r="L262" i="7"/>
  <c r="S222" i="7"/>
  <c r="S221" i="7" s="1"/>
  <c r="U262" i="7"/>
  <c r="Z286" i="7"/>
  <c r="V286" i="7"/>
  <c r="AA286" i="7" s="1"/>
  <c r="Q12" i="7"/>
  <c r="Z12" i="7"/>
  <c r="V12" i="7"/>
  <c r="AA12" i="7" s="1"/>
  <c r="Q57" i="7"/>
  <c r="V57" i="7"/>
  <c r="AA57" i="7" s="1"/>
  <c r="Z57" i="7"/>
  <c r="Q110" i="7"/>
  <c r="Z110" i="7"/>
  <c r="V110" i="7"/>
  <c r="AA110" i="7" s="1"/>
  <c r="Z150" i="7"/>
  <c r="V150" i="7"/>
  <c r="AA150" i="7" s="1"/>
  <c r="Q150" i="7"/>
  <c r="Z119" i="7"/>
  <c r="V119" i="7"/>
  <c r="AA119" i="7" s="1"/>
  <c r="Q119" i="7"/>
  <c r="L118" i="7"/>
  <c r="Q197" i="7"/>
  <c r="Q189" i="7" s="1"/>
  <c r="Z197" i="7"/>
  <c r="V197" i="7"/>
  <c r="AA197" i="7" s="1"/>
  <c r="L189" i="7"/>
  <c r="Z19" i="7"/>
  <c r="Q19" i="7"/>
  <c r="V19" i="7"/>
  <c r="AA19" i="7" s="1"/>
  <c r="P102" i="7"/>
  <c r="V319" i="7"/>
  <c r="Q30" i="7"/>
  <c r="Q29" i="7" s="1"/>
  <c r="V30" i="7"/>
  <c r="AA30" i="7" s="1"/>
  <c r="Z30" i="7"/>
  <c r="Z129" i="7"/>
  <c r="V129" i="7"/>
  <c r="Q129" i="7"/>
  <c r="Z134" i="7"/>
  <c r="V134" i="7"/>
  <c r="AA134" i="7" s="1"/>
  <c r="Q134" i="7"/>
  <c r="Z61" i="7"/>
  <c r="V61" i="7"/>
  <c r="Q61" i="7"/>
  <c r="Q298" i="7"/>
  <c r="Z298" i="7"/>
  <c r="V298" i="7"/>
  <c r="AA298" i="7" s="1"/>
  <c r="L297" i="7"/>
  <c r="Q103" i="7"/>
  <c r="Z103" i="7"/>
  <c r="V103" i="7"/>
  <c r="AA103" i="7" s="1"/>
  <c r="L102" i="7"/>
  <c r="Z283" i="7"/>
  <c r="V283" i="7"/>
  <c r="AA283" i="7" s="1"/>
  <c r="Z69" i="7"/>
  <c r="Q69" i="7"/>
  <c r="V69" i="7"/>
  <c r="Q76" i="7"/>
  <c r="V76" i="7"/>
  <c r="AA76" i="7" s="1"/>
  <c r="Z76" i="7"/>
  <c r="Q87" i="7"/>
  <c r="Z87" i="7"/>
  <c r="V87" i="7"/>
  <c r="AA87" i="7" s="1"/>
  <c r="L86" i="7"/>
  <c r="U85" i="7"/>
  <c r="U68" i="7" s="1"/>
  <c r="Q209" i="7"/>
  <c r="Z209" i="7"/>
  <c r="V209" i="7"/>
  <c r="AA209" i="7" s="1"/>
  <c r="R221" i="7"/>
  <c r="Q243" i="7"/>
  <c r="Q228" i="7" s="1"/>
  <c r="L228" i="7"/>
  <c r="Z243" i="7"/>
  <c r="V243" i="7"/>
  <c r="Z293" i="7"/>
  <c r="V293" i="7"/>
  <c r="AA293" i="7" s="1"/>
  <c r="P222" i="7"/>
  <c r="P221" i="7" s="1"/>
  <c r="V20" i="7"/>
  <c r="AA20" i="7" s="1"/>
  <c r="Z140" i="7" l="1"/>
  <c r="AB140" i="7" s="1"/>
  <c r="Q140" i="7"/>
  <c r="AC140" i="7"/>
  <c r="AC293" i="7"/>
  <c r="AB293" i="7"/>
  <c r="AC76" i="7"/>
  <c r="AB76" i="7"/>
  <c r="AC103" i="7"/>
  <c r="AB103" i="7"/>
  <c r="AC298" i="7"/>
  <c r="AB298" i="7"/>
  <c r="AC19" i="7"/>
  <c r="AB19" i="7"/>
  <c r="AC119" i="7"/>
  <c r="AB119" i="7"/>
  <c r="AC302" i="7"/>
  <c r="AB302" i="7"/>
  <c r="AC62" i="7"/>
  <c r="AB62" i="7"/>
  <c r="AC209" i="7"/>
  <c r="AB209" i="7"/>
  <c r="AC69" i="7"/>
  <c r="AB69" i="7"/>
  <c r="AC283" i="7"/>
  <c r="AB283" i="7"/>
  <c r="AC134" i="7"/>
  <c r="AB134" i="7"/>
  <c r="Z29" i="7"/>
  <c r="AC30" i="7"/>
  <c r="AB30" i="7"/>
  <c r="AC197" i="7"/>
  <c r="AB197" i="7"/>
  <c r="AC150" i="7"/>
  <c r="AB150" i="7"/>
  <c r="AC110" i="7"/>
  <c r="AB110" i="7"/>
  <c r="AC57" i="7"/>
  <c r="AB57" i="7"/>
  <c r="AC12" i="7"/>
  <c r="AB12" i="7"/>
  <c r="AC91" i="7"/>
  <c r="AB91" i="7"/>
  <c r="AC46" i="7"/>
  <c r="AB46" i="7"/>
  <c r="AC218" i="7"/>
  <c r="AB218" i="7"/>
  <c r="AC177" i="7"/>
  <c r="AB177" i="7"/>
  <c r="AC54" i="7"/>
  <c r="AB54" i="7"/>
  <c r="U221" i="7"/>
  <c r="V140" i="7"/>
  <c r="AA140" i="7" s="1"/>
  <c r="Z228" i="7"/>
  <c r="AC243" i="7"/>
  <c r="AB243" i="7"/>
  <c r="AC87" i="7"/>
  <c r="AB87" i="7"/>
  <c r="AC61" i="7"/>
  <c r="AB61" i="7"/>
  <c r="AC129" i="7"/>
  <c r="AB129" i="7"/>
  <c r="AC286" i="7"/>
  <c r="AB286" i="7"/>
  <c r="AC144" i="7"/>
  <c r="AB144" i="7"/>
  <c r="AC223" i="7"/>
  <c r="AB223" i="7"/>
  <c r="AC265" i="7"/>
  <c r="AB265" i="7"/>
  <c r="AC266" i="7"/>
  <c r="AB266" i="7"/>
  <c r="P11" i="7"/>
  <c r="P309" i="7" s="1"/>
  <c r="S309" i="7"/>
  <c r="R310" i="7"/>
  <c r="U310" i="7" s="1"/>
  <c r="U322" i="7"/>
  <c r="Z212" i="7"/>
  <c r="Q212" i="7"/>
  <c r="V212" i="7"/>
  <c r="AA212" i="7" s="1"/>
  <c r="V323" i="7"/>
  <c r="AA323" i="7" s="1"/>
  <c r="AA129" i="7"/>
  <c r="V128" i="7"/>
  <c r="AA128" i="7" s="1"/>
  <c r="Q128" i="7"/>
  <c r="Z128" i="7"/>
  <c r="AA69" i="7"/>
  <c r="V29" i="7"/>
  <c r="AA29" i="7" s="1"/>
  <c r="AA243" i="7"/>
  <c r="V228" i="7"/>
  <c r="AA228" i="7" s="1"/>
  <c r="Q102" i="7"/>
  <c r="Z102" i="7"/>
  <c r="V102" i="7"/>
  <c r="AA102" i="7" s="1"/>
  <c r="Q297" i="7"/>
  <c r="Z297" i="7"/>
  <c r="V297" i="7"/>
  <c r="AA297" i="7" s="1"/>
  <c r="L296" i="7"/>
  <c r="Z189" i="7"/>
  <c r="V189" i="7"/>
  <c r="AA189" i="7" s="1"/>
  <c r="Q118" i="7"/>
  <c r="L113" i="7"/>
  <c r="Z118" i="7"/>
  <c r="V118" i="7"/>
  <c r="AA118" i="7" s="1"/>
  <c r="R11" i="7"/>
  <c r="Q86" i="7"/>
  <c r="Z86" i="7"/>
  <c r="V86" i="7"/>
  <c r="AA86" i="7" s="1"/>
  <c r="L85" i="7"/>
  <c r="L68" i="7" s="1"/>
  <c r="Z262" i="7"/>
  <c r="V262" i="7"/>
  <c r="AA262" i="7" s="1"/>
  <c r="Q262" i="7"/>
  <c r="Q222" i="7" s="1"/>
  <c r="L222" i="7"/>
  <c r="L139" i="7"/>
  <c r="U222" i="7"/>
  <c r="AC86" i="7" l="1"/>
  <c r="AB86" i="7"/>
  <c r="AC118" i="7"/>
  <c r="AB118" i="7"/>
  <c r="AC102" i="7"/>
  <c r="AB102" i="7"/>
  <c r="AC128" i="7"/>
  <c r="AB128" i="7"/>
  <c r="AC228" i="7"/>
  <c r="AB228" i="7"/>
  <c r="AC297" i="7"/>
  <c r="AB297" i="7"/>
  <c r="AC29" i="7"/>
  <c r="AB29" i="7"/>
  <c r="AC189" i="7"/>
  <c r="AB189" i="7"/>
  <c r="AC262" i="7"/>
  <c r="AB262" i="7"/>
  <c r="AC212" i="7"/>
  <c r="AB212" i="7"/>
  <c r="V310" i="7"/>
  <c r="AA310" i="7" s="1"/>
  <c r="V322" i="7"/>
  <c r="AA322" i="7" s="1"/>
  <c r="Z222" i="7"/>
  <c r="V222" i="7"/>
  <c r="AA222" i="7" s="1"/>
  <c r="L221" i="7"/>
  <c r="Q139" i="7"/>
  <c r="Z139" i="7"/>
  <c r="V139" i="7"/>
  <c r="AA139" i="7" s="1"/>
  <c r="Q85" i="7"/>
  <c r="Q68" i="7" s="1"/>
  <c r="Z85" i="7"/>
  <c r="V85" i="7"/>
  <c r="R309" i="7"/>
  <c r="U309" i="7" s="1"/>
  <c r="U11" i="7"/>
  <c r="Z113" i="7"/>
  <c r="V113" i="7"/>
  <c r="AA113" i="7" s="1"/>
  <c r="Q113" i="7"/>
  <c r="Q296" i="7"/>
  <c r="Q221" i="7" s="1"/>
  <c r="Z296" i="7"/>
  <c r="V296" i="7"/>
  <c r="AA296" i="7" s="1"/>
  <c r="AC296" i="7" l="1"/>
  <c r="AB296" i="7"/>
  <c r="AC113" i="7"/>
  <c r="AB113" i="7"/>
  <c r="Z68" i="7"/>
  <c r="AC85" i="7"/>
  <c r="AB85" i="7"/>
  <c r="AC139" i="7"/>
  <c r="AB139" i="7"/>
  <c r="AC222" i="7"/>
  <c r="AB222" i="7"/>
  <c r="AA85" i="7"/>
  <c r="V68" i="7"/>
  <c r="AA68" i="7" s="1"/>
  <c r="L11" i="7"/>
  <c r="Z221" i="7"/>
  <c r="V221" i="7"/>
  <c r="AA221" i="7" s="1"/>
  <c r="AC68" i="7" l="1"/>
  <c r="AB68" i="7"/>
  <c r="AC221" i="7"/>
  <c r="AB221" i="7"/>
  <c r="L309" i="7"/>
  <c r="Z309" i="7" s="1"/>
  <c r="Q11" i="7"/>
  <c r="Z11" i="7"/>
  <c r="V11" i="7"/>
  <c r="AA11" i="7" s="1"/>
  <c r="AB11" i="7" l="1"/>
  <c r="AC11" i="7"/>
  <c r="AC309" i="7"/>
  <c r="AB309" i="7"/>
  <c r="Q309" i="7"/>
  <c r="V309" i="7"/>
  <c r="AA309" i="7" s="1"/>
</calcChain>
</file>

<file path=xl/sharedStrings.xml><?xml version="1.0" encoding="utf-8"?>
<sst xmlns="http://schemas.openxmlformats.org/spreadsheetml/2006/main" count="1003" uniqueCount="608">
  <si>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</si>
  <si>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</si>
  <si>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</si>
  <si>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</si>
  <si>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</si>
  <si>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</si>
  <si>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</si>
  <si>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</si>
  <si>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</si>
  <si>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</si>
  <si>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</si>
  <si>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</si>
  <si>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</si>
  <si>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</si>
  <si>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</si>
  <si>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</si>
  <si>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</si>
  <si>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</si>
  <si>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</si>
  <si>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</si>
  <si>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</si>
  <si>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</si>
  <si>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</si>
  <si>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</si>
  <si>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</si>
  <si>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</si>
  <si>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</si>
  <si>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</si>
  <si>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</si>
  <si>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</si>
  <si>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</si>
  <si>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</si>
  <si>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</si>
  <si>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</si>
  <si>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</si>
  <si>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</si>
  <si>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</si>
  <si>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</si>
  <si>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</si>
  <si>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</si>
  <si>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</si>
  <si>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</si>
  <si>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</si>
  <si>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</si>
  <si>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</si>
  <si>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</si>
  <si>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</si>
  <si>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</si>
  <si>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</si>
  <si>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</si>
  <si>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</si>
  <si>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</si>
  <si>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</si>
  <si>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</si>
  <si>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</si>
  <si>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</si>
  <si>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</si>
  <si>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</si>
  <si>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</si>
  <si>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</si>
  <si>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</si>
  <si>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</si>
  <si>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</si>
  <si>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</si>
  <si>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</si>
  <si>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</si>
  <si>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</si>
  <si>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</si>
  <si>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</si>
  <si>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</si>
  <si>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</si>
  <si>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</si>
  <si>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</si>
  <si>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</si>
  <si>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</si>
  <si>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</si>
  <si>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</si>
  <si>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</si>
  <si>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</si>
  <si>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</si>
  <si>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</si>
  <si>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</si>
  <si>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</si>
  <si>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</si>
  <si>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</si>
  <si>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</si>
  <si>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</si>
  <si>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</si>
  <si>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</si>
  <si>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</si>
  <si>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</si>
  <si>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</si>
  <si>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</si>
  <si>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</si>
  <si>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</si>
  <si>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</si>
  <si>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</si>
  <si>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</si>
  <si>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</si>
  <si>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</si>
  <si>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</si>
  <si>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</si>
  <si>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</si>
  <si>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</si>
  <si>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</si>
  <si>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</si>
  <si>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</si>
  <si>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</si>
  <si>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</si>
  <si>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</si>
  <si>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</si>
  <si>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</si>
  <si>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</si>
  <si>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</si>
  <si>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</si>
  <si>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</si>
  <si>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</si>
  <si>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</si>
  <si>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</si>
  <si>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</si>
  <si>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</si>
  <si>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</si>
  <si>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</si>
  <si>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</si>
  <si>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</si>
  <si>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</si>
  <si>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</si>
  <si>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</si>
  <si>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</si>
  <si>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</si>
  <si>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</si>
  <si>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</si>
  <si>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</si>
  <si>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</si>
  <si>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</si>
  <si>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</si>
  <si>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</si>
  <si>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</si>
  <si>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</si>
  <si>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</si>
  <si>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</si>
  <si>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</si>
  <si>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</si>
  <si>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</si>
  <si>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</si>
  <si>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</si>
  <si>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</si>
  <si>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</si>
  <si>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</si>
  <si>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</si>
  <si>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</si>
  <si>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</si>
  <si>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</si>
  <si>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</si>
  <si>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</si>
  <si>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</si>
  <si>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</si>
  <si>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</si>
  <si>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</si>
  <si>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</si>
  <si>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</si>
  <si>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</si>
  <si>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</si>
  <si>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</si>
  <si>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</si>
  <si>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</si>
  <si>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</si>
  <si>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</si>
  <si>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</si>
  <si>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</si>
  <si>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</si>
  <si>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</si>
  <si>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</si>
  <si>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</si>
  <si>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</si>
  <si>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</si>
  <si>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</si>
  <si>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</si>
  <si>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</si>
  <si>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</si>
  <si>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</si>
  <si>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</si>
  <si>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</si>
  <si>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</si>
  <si>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</si>
  <si>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</si>
  <si>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</si>
  <si>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</si>
  <si>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</si>
  <si>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</si>
  <si>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</si>
  <si>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</si>
  <si>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</si>
  <si>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</si>
  <si>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</si>
  <si>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</si>
  <si>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</si>
  <si>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</si>
  <si>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</si>
  <si>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</si>
  <si>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</si>
  <si>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</si>
  <si>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</si>
  <si>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</si>
  <si>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</si>
  <si>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</si>
  <si>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</si>
  <si>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</si>
  <si>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</si>
  <si>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</si>
  <si>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</si>
  <si>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</si>
  <si>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</si>
  <si>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</si>
  <si>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</si>
  <si>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</si>
  <si>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</si>
  <si>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</si>
  <si>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</si>
  <si>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</si>
  <si>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</si>
  <si>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</si>
  <si>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912</t>
  </si>
  <si>
    <t>1 16 01157 01 0000 140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</si>
  <si>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</si>
  <si>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</si>
  <si>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</si>
  <si>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</si>
  <si>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</si>
  <si>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</si>
  <si>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</si>
  <si>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</si>
  <si>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</si>
  <si>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</si>
  <si>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</si>
  <si>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</si>
  <si>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</si>
  <si>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</si>
  <si>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</si>
  <si>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</si>
  <si>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</si>
  <si>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</si>
  <si>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</si>
  <si>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</si>
  <si>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</si>
  <si>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</si>
  <si>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</si>
  <si>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</si>
  <si>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</si>
  <si>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</si>
  <si>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</si>
  <si>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</si>
  <si>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</si>
  <si>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</si>
  <si>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</si>
  <si>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</si>
  <si>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</si>
  <si>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</si>
  <si>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</si>
  <si>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</si>
  <si>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</si>
  <si>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</si>
  <si>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</si>
  <si>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</si>
  <si>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</si>
  <si>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</si>
  <si>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</si>
  <si>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</si>
  <si>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</si>
  <si>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</si>
  <si>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</si>
  <si>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</si>
  <si>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</si>
  <si>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</si>
  <si>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</si>
  <si>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</si>
  <si>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</si>
  <si>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</si>
  <si>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</si>
  <si>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</si>
  <si>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</si>
  <si>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</si>
  <si>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</si>
  <si>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</si>
  <si>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</si>
  <si>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</si>
  <si>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</si>
  <si>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</si>
  <si>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</si>
  <si>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</si>
  <si>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</si>
  <si>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</si>
  <si>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</si>
  <si>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</si>
  <si>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</si>
  <si>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</si>
  <si>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</si>
  <si>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</si>
  <si>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</si>
  <si>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</si>
  <si>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</si>
  <si>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</si>
  <si>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</si>
  <si>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</si>
  <si>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</si>
  <si>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</si>
  <si>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</si>
  <si>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</si>
  <si>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</si>
  <si>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</si>
  <si>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</si>
  <si>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</si>
  <si>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</si>
  <si>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</si>
  <si>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</si>
  <si>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</si>
  <si>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</si>
  <si>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</si>
  <si>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</si>
  <si>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</si>
  <si>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</si>
  <si>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</si>
  <si>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</si>
  <si>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</si>
  <si>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</si>
  <si>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</si>
  <si>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</si>
  <si>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</si>
  <si>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</si>
  <si>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</si>
  <si>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</si>
  <si>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</si>
  <si>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</si>
  <si>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</si>
  <si>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</si>
  <si>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</si>
  <si>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</si>
  <si>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</si>
  <si>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</si>
  <si>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</si>
  <si>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</si>
  <si>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</si>
  <si>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</si>
  <si>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</si>
  <si>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</si>
  <si>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</si>
  <si>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</si>
  <si>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</si>
  <si>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</si>
  <si>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</si>
  <si>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</si>
  <si>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</si>
  <si>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</si>
  <si>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</si>
  <si>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</si>
  <si>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</si>
  <si>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</si>
  <si>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</si>
  <si>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</si>
  <si>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</si>
  <si>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</si>
  <si>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</si>
  <si>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</si>
  <si>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</si>
  <si>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</si>
  <si>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</si>
  <si>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</si>
  <si>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</si>
  <si>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</si>
  <si>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</si>
  <si>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</si>
  <si>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</si>
  <si>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</si>
  <si>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</si>
  <si>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</si>
  <si>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</si>
  <si>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</si>
  <si>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</si>
  <si>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</si>
  <si>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</si>
  <si>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</si>
  <si>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</si>
  <si>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</si>
  <si>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</si>
  <si>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</si>
  <si>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</si>
  <si>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</si>
  <si>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</si>
  <si>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</si>
  <si>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</si>
  <si>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</si>
  <si>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</si>
  <si>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</si>
  <si>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</si>
  <si>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февраль</t>
  </si>
  <si>
    <t>март</t>
  </si>
  <si>
    <t>1 05 01022 01 0000 110</t>
  </si>
  <si>
    <t>1 11 09080 04 2130 120</t>
  </si>
  <si>
    <t>1 16 07 010 04 0000 140</t>
  </si>
  <si>
    <t>809</t>
  </si>
  <si>
    <t>1 16 01133 01 0000 140</t>
  </si>
  <si>
    <t>840</t>
  </si>
  <si>
    <t>1 16 10 123 01 0041 140</t>
  </si>
  <si>
    <t>1 16 10031 04 0000 140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</si>
  <si>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</si>
  <si>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</si>
  <si>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</si>
  <si>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</si>
  <si>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</si>
  <si>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</si>
  <si>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</si>
  <si>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</si>
  <si>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</si>
  <si>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</si>
  <si>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</si>
  <si>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</si>
  <si>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</si>
  <si>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</si>
  <si>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</si>
  <si>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</si>
  <si>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</si>
  <si>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</si>
  <si>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</si>
  <si>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</si>
  <si>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</si>
  <si>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</si>
  <si>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</si>
  <si>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</si>
  <si>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</si>
  <si>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</si>
  <si>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</si>
  <si>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</si>
  <si>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</si>
  <si>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</si>
  <si>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</si>
  <si>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</si>
  <si>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</si>
  <si>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</si>
  <si>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</si>
  <si>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</si>
  <si>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</si>
  <si>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</si>
  <si>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</si>
  <si>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</si>
  <si>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</si>
  <si>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</si>
  <si>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</si>
  <si>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2 02 45454 00 0000 150</t>
  </si>
  <si>
    <t>1 09 04010 02 0000 110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</si>
  <si>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</si>
  <si>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</si>
  <si>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</si>
  <si>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1 11 05300 00 0000 120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</si>
  <si>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</si>
  <si>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</si>
  <si>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</si>
  <si>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</si>
  <si>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</si>
  <si>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апрель</t>
  </si>
  <si>
    <t>май</t>
  </si>
  <si>
    <t>июнь</t>
  </si>
  <si>
    <t>1 полугодие 2021</t>
  </si>
  <si>
    <t>1 01 02080 01 1000 110</t>
  </si>
  <si>
    <t xml:space="preserve"> 1 12 01070 01 0000 120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</si>
  <si>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</si>
  <si>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</si>
  <si>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1 16 10100 04 0000 140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</si>
  <si>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</si>
  <si>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</si>
  <si>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</si>
  <si>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</si>
  <si>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
Налог на имущество предприятий</t>
  </si>
  <si>
    <t>Налоги на имущество</t>
  </si>
  <si>
    <t>1 09 04000 00 0000 110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</si>
  <si>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</si>
  <si>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</si>
  <si>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</si>
  <si>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</si>
  <si>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</si>
  <si>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</si>
  <si>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>Межбюджетные трансферты, передаваемые бюджетам на создание модельных муниципальных библиотек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</si>
  <si>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</si>
  <si>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</si>
  <si>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</si>
  <si>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</si>
  <si>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</si>
  <si>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</si>
  <si>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</si>
  <si>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</si>
  <si>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</si>
  <si>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1 11 05320 00 0000 120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</si>
  <si>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</si>
  <si>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Исполнение 1 квартал</t>
  </si>
  <si>
    <t>Исполнение 2 квартал</t>
  </si>
  <si>
    <t>План на 01.01.2021</t>
  </si>
  <si>
    <t>План на 01.05.2021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</si>
  <si>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</si>
  <si>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</si>
  <si>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</si>
  <si>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</si>
  <si>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</si>
  <si>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</si>
  <si>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План на 01.06.2021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</si>
  <si>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</si>
  <si>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Январь</t>
  </si>
  <si>
    <t>План на 01.07.2021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</si>
  <si>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</si>
  <si>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</si>
  <si>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</si>
  <si>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</si>
  <si>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</si>
  <si>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</si>
  <si>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</si>
  <si>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</si>
  <si>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</si>
  <si>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</si>
  <si>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июль</t>
  </si>
  <si>
    <t>август</t>
  </si>
  <si>
    <t>сентябрь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</si>
  <si>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</si>
  <si>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1 16 01093 01 0000 140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</si>
  <si>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</si>
  <si>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Земельный налог (по обязательствам, возникшим до 1 января 2006 года), мобилизуемый на территориях городских округов</t>
  </si>
  <si>
    <t>1 09 04052 04 0000 110</t>
  </si>
  <si>
    <t>Земельный налог (по обязательствам, возникшим до 1 января 2006 года)</t>
  </si>
  <si>
    <t>1 09 04050 00 0000 110</t>
  </si>
  <si>
    <t>1 11 09080 04 3030 120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</si>
  <si>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</si>
  <si>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</si>
  <si>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</si>
  <si>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</si>
  <si>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</si>
  <si>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</si>
  <si>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</si>
  <si>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</si>
  <si>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</si>
  <si>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</si>
  <si>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2 02 25081 04 0000 150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</si>
  <si>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</si>
  <si>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</si>
  <si>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</si>
  <si>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</si>
  <si>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</si>
  <si>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</si>
  <si>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</si>
  <si>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</si>
  <si>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</si>
  <si>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</si>
  <si>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</si>
  <si>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</si>
  <si>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</si>
  <si>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</si>
  <si>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</si>
  <si>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</si>
  <si>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</si>
  <si>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</si>
  <si>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</si>
  <si>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</si>
  <si>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</si>
  <si>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</si>
  <si>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</si>
  <si>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</si>
  <si>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</si>
  <si>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Е.Ф. Супрунова</t>
  </si>
  <si>
    <t>1 05 01012 01 0000 110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</si>
  <si>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</si>
  <si>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</si>
  <si>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</si>
  <si>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2 02 15002 00 0000 150</t>
  </si>
  <si>
    <t>октябрь</t>
  </si>
  <si>
    <t>ноябрь</t>
  </si>
  <si>
    <t>декабрь</t>
  </si>
  <si>
    <t>Исполнение  3 квартал</t>
  </si>
  <si>
    <t>Исполнение за 9 мес.</t>
  </si>
  <si>
    <t>2 02 25519 00 0000 150</t>
  </si>
  <si>
    <t>2 02 25519 04 0000 150</t>
  </si>
  <si>
    <t>2 02 25269 04 0000 150</t>
  </si>
  <si>
    <t>2 02 25269 00 0000 150</t>
  </si>
  <si>
    <t>1 05 01030 01 0000 110</t>
  </si>
  <si>
    <t xml:space="preserve"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
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</si>
  <si>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</si>
  <si>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1 11 05400 00 0000 120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</si>
  <si>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</si>
  <si>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1 11 05410 00 0000 120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</si>
  <si>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</si>
  <si>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1 11 05410 04 0000 120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</si>
  <si>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</si>
  <si>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</si>
  <si>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1 14 03000 00 0000 410</t>
  </si>
  <si>
    <t>1 14 03040 04 0000 410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</si>
  <si>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</si>
  <si>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</si>
  <si>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1 16 011030 01 0000 140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</si>
  <si>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</si>
  <si>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</si>
  <si>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1 16 01100 01 0000  140</t>
  </si>
  <si>
    <t>Субсидии бюджетам на закупку контейнеров для раздельного накопления твердых коммунальных отходов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</si>
  <si>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</si>
  <si>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</si>
  <si>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</si>
  <si>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+, - исполнение</t>
  </si>
  <si>
    <t xml:space="preserve">Отчет об исполнении по доходам и источникам финансирования дефицита бюджета города за 2021 год                                                    </t>
  </si>
  <si>
    <t>Председатель Городской Думы</t>
  </si>
  <si>
    <t>А.П. Чихирьков</t>
  </si>
  <si>
    <t>решением Городской Думы</t>
  </si>
  <si>
    <t xml:space="preserve">от  00.00.2022 №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</si>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</sst>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###\ ###\ ###\ ###\ ##0.00"/>
    <numFmt numFmtId="168" formatCode="000"/>
    <numFmt numFmtId="169" formatCode="#,##0.0_р_."/>
    <numFmt numFmtId="170" formatCode="#,##0.0"/>
    <numFmt numFmtId="171" formatCode="#,##0.00_р_."/>
    <numFmt numFmtId="172" formatCode="?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6" fillId="0" borderId="0"/>
    <xf numFmtId="0" fontId="7" fillId="0" borderId="0"/>
  </cellStyleXfs>
  <cellXfs count="115">
    <xf numFmtId="0" fontId="0" fillId="0" borderId="0" xfId="0"/>
    <xf numFmtId="0" fontId="3" fillId="2" borderId="1" xfId="4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4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170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9" fontId="3" fillId="2" borderId="1" xfId="4" applyNumberFormat="1" applyFont="1" applyFill="1" applyBorder="1" applyAlignment="1">
      <alignment horizontal="center" vertical="center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4" fillId="2" borderId="0" xfId="0" applyFont="1" applyFill="1"/>
    <xf numFmtId="0" fontId="10" fillId="2" borderId="0" xfId="0" applyFont="1" applyFill="1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4" applyNumberFormat="1" applyFont="1" applyFill="1" applyBorder="1" applyAlignment="1">
      <alignment horizontal="center" vertical="center" wrapText="1"/>
    </xf>
    <xf numFmtId="166" fontId="3" fillId="2" borderId="1" xfId="4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167" fontId="3" fillId="2" borderId="1" xfId="0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7" applyNumberFormat="1" applyFont="1" applyFill="1" applyBorder="1" applyAlignment="1" applyProtection="1">
      <alignment horizontal="left" vertical="center"/>
    </xf>
    <xf numFmtId="4" fontId="3" fillId="2" borderId="1" xfId="3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indent="3"/>
    </xf>
    <xf numFmtId="168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169" fontId="3" fillId="2" borderId="1" xfId="12" applyNumberFormat="1" applyFont="1" applyFill="1" applyBorder="1" applyAlignment="1">
      <alignment horizontal="center" vertical="center" wrapText="1"/>
    </xf>
    <xf numFmtId="171" fontId="3" fillId="2" borderId="1" xfId="12" applyNumberFormat="1" applyFont="1" applyFill="1" applyBorder="1" applyAlignment="1">
      <alignment horizontal="center" vertical="center" wrapText="1"/>
    </xf>
    <xf numFmtId="171" fontId="3" fillId="2" borderId="1" xfId="9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71" fontId="3" fillId="2" borderId="1" xfId="0" applyNumberFormat="1" applyFont="1" applyFill="1" applyBorder="1" applyAlignment="1">
      <alignment horizontal="center" vertical="center"/>
    </xf>
    <xf numFmtId="170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9" fillId="2" borderId="0" xfId="0" applyFont="1" applyFill="1" applyBorder="1"/>
    <xf numFmtId="172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/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2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20" applyNumberFormat="1" applyFont="1" applyFill="1" applyBorder="1" applyAlignment="1" applyProtection="1">
      <alignment horizontal="center" vertical="center" shrinkToFit="1"/>
    </xf>
    <xf numFmtId="4" fontId="12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1" fillId="2" borderId="0" xfId="5" applyFont="1" applyFill="1" applyProtection="1">
      <protection hidden="1"/>
    </xf>
    <xf numFmtId="0" fontId="5" fillId="2" borderId="0" xfId="0" applyFont="1" applyFill="1"/>
    <xf numFmtId="4" fontId="13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9" applyNumberFormat="1" applyFont="1" applyFill="1" applyBorder="1" applyAlignment="1">
      <alignment horizontal="center" vertical="center" wrapText="1"/>
    </xf>
    <xf numFmtId="171" fontId="3" fillId="0" borderId="1" xfId="12" applyNumberFormat="1" applyFont="1" applyFill="1" applyBorder="1" applyAlignment="1">
      <alignment horizontal="center" vertical="center" wrapText="1"/>
    </xf>
    <xf numFmtId="171" fontId="3" fillId="0" borderId="1" xfId="9" applyNumberFormat="1" applyFont="1" applyFill="1" applyBorder="1" applyAlignment="1">
      <alignment horizontal="center" vertical="center" wrapText="1"/>
    </xf>
    <xf numFmtId="171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5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15" fillId="2" borderId="1" xfId="7" applyNumberFormat="1" applyFont="1" applyFill="1" applyBorder="1" applyAlignment="1" applyProtection="1">
      <alignment horizontal="left" vertical="center" wrapText="1"/>
    </xf>
    <xf numFmtId="49" fontId="15" fillId="2" borderId="1" xfId="8" applyNumberFormat="1" applyFont="1" applyFill="1" applyBorder="1" applyAlignment="1" applyProtection="1">
      <alignment horizontal="center" vertical="center"/>
    </xf>
    <xf numFmtId="170" fontId="14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3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3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3" fillId="2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NumberFormat="1" applyFont="1" applyFill="1" applyBorder="1" applyAlignment="1">
      <alignment horizontal="left" vertical="center" wrapText="1"/>
    </xf>
    <xf numFmtId="0" fontId="3" fillId="2" borderId="1" xfId="5" applyNumberFormat="1" applyFont="1" applyFill="1" applyBorder="1" applyAlignment="1" applyProtection="1">
      <alignment horizontal="left" vertical="center" wrapText="1"/>
      <protection hidden="1"/>
    </xf>
    <xf numFmtId="0" fontId="15" fillId="0" borderId="1" xfId="7" applyNumberFormat="1" applyFont="1" applyBorder="1" applyAlignment="1" applyProtection="1">
      <alignment horizontal="left" vertical="center" wrapText="1"/>
    </xf>
    <xf numFmtId="0" fontId="3" fillId="2" borderId="1" xfId="18" applyFont="1" applyFill="1" applyBorder="1" applyAlignment="1">
      <alignment horizontal="left" vertical="center" wrapText="1"/>
    </xf>
    <xf numFmtId="0" fontId="3" fillId="0" borderId="1" xfId="4" applyNumberFormat="1" applyFont="1" applyFill="1" applyBorder="1" applyAlignment="1">
      <alignment horizontal="left" vertical="center" wrapText="1" shrinkToFit="1"/>
    </xf>
    <xf numFmtId="0" fontId="3" fillId="2" borderId="1" xfId="4" applyNumberFormat="1" applyFont="1" applyFill="1" applyBorder="1" applyAlignment="1">
      <alignment horizontal="left" vertical="center" wrapText="1" shrinkToFit="1"/>
    </xf>
    <xf numFmtId="0" fontId="3" fillId="2" borderId="1" xfId="9" applyFont="1" applyFill="1" applyBorder="1" applyAlignment="1">
      <alignment horizontal="left" vertical="center" wrapText="1"/>
    </xf>
    <xf numFmtId="0" fontId="3" fillId="2" borderId="1" xfId="13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21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2" borderId="0" xfId="2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4" applyNumberFormat="1" applyFont="1" applyFill="1" applyBorder="1" applyAlignment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1" fillId="2" borderId="0" xfId="5" applyFont="1" applyFill="1" applyAlignment="1" applyProtection="1">
      <alignment horizontal="center"/>
      <protection hidden="1"/>
    </xf>
  </cellXfs>
  <cellStyles count="23">
    <cellStyle name="xl103" xfId="20"/>
    <cellStyle name="xl109" xfId="19"/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3" xfId="18"/>
    <cellStyle name="Обычный 6" xfId="12"/>
    <cellStyle name="Обычный_tmp" xfId="22"/>
    <cellStyle name="Обычный_tmp_Бюджет_4" xfId="21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34"/>
  <sheetViews>
    <sheetView tabSelected="1" topLeftCell="A314" zoomScaleNormal="100" zoomScaleSheetLayoutView="100" workbookViewId="0">
      <selection activeCell="Z322" sqref="Z322"/>
    </sheetView>
  </sheetViews>
  <sheetFormatPr defaultColWidth="9.109375" defaultRowHeight="13.8" x14ac:dyDescent="0.25"/>
  <cols>
    <col min="1" max="1" width="55.6640625" style="10" customWidth="1"/>
    <col min="2" max="2" width="9.109375" style="10"/>
    <col min="3" max="3" width="22.44140625" style="10" customWidth="1"/>
    <col min="4" max="7" width="15.33203125" style="10" hidden="1" customWidth="1"/>
    <col min="8" max="8" width="17.109375" style="10" customWidth="1"/>
    <col min="9" max="9" width="15.33203125" style="10" hidden="1" customWidth="1"/>
    <col min="10" max="16" width="16.88671875" style="10" hidden="1" customWidth="1"/>
    <col min="17" max="17" width="17.109375" style="10" hidden="1" customWidth="1"/>
    <col min="18" max="23" width="16.88671875" style="10" hidden="1" customWidth="1"/>
    <col min="24" max="24" width="16.88671875" style="65" hidden="1" customWidth="1"/>
    <col min="25" max="25" width="16.88671875" style="10" hidden="1" customWidth="1"/>
    <col min="26" max="26" width="16.88671875" style="10" customWidth="1"/>
    <col min="27" max="27" width="14.6640625" style="10" hidden="1" customWidth="1"/>
    <col min="28" max="28" width="16.6640625" style="10" customWidth="1"/>
    <col min="29" max="29" width="15.5546875" style="10" customWidth="1"/>
    <col min="30" max="30" width="0.44140625" style="10" customWidth="1"/>
    <col min="31" max="45" width="9.109375" style="10" hidden="1" customWidth="1"/>
    <col min="46" max="16384" width="9.109375" style="10"/>
  </cols>
  <sheetData>
    <row r="1" spans="1:29" x14ac:dyDescent="0.25">
      <c r="V1" s="10" t="s">
        <v>545</v>
      </c>
      <c r="AB1" s="108" t="s">
        <v>545</v>
      </c>
      <c r="AC1" s="108"/>
    </row>
    <row r="2" spans="1:29" x14ac:dyDescent="0.25">
      <c r="V2" s="10" t="s">
        <v>546</v>
      </c>
      <c r="AB2" s="108" t="s">
        <v>546</v>
      </c>
      <c r="AC2" s="108"/>
    </row>
    <row r="3" spans="1:29" x14ac:dyDescent="0.25">
      <c r="V3" s="10" t="s">
        <v>547</v>
      </c>
      <c r="AB3" s="108" t="s">
        <v>604</v>
      </c>
      <c r="AC3" s="108"/>
    </row>
    <row r="4" spans="1:29" x14ac:dyDescent="0.25">
      <c r="V4" s="10" t="s">
        <v>548</v>
      </c>
      <c r="AB4" s="109" t="s">
        <v>548</v>
      </c>
      <c r="AC4" s="109"/>
    </row>
    <row r="5" spans="1:29" x14ac:dyDescent="0.25">
      <c r="V5" s="10" t="s">
        <v>549</v>
      </c>
      <c r="AB5" s="110" t="s">
        <v>605</v>
      </c>
      <c r="AC5" s="110"/>
    </row>
    <row r="7" spans="1:29" s="11" customFormat="1" ht="18.75" customHeight="1" x14ac:dyDescent="0.3">
      <c r="A7" s="107" t="s">
        <v>601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</row>
    <row r="8" spans="1:29" s="16" customFormat="1" ht="13.2" x14ac:dyDescent="0.25">
      <c r="A8" s="12"/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66"/>
      <c r="Y8" s="14"/>
      <c r="Z8" s="14"/>
      <c r="AA8" s="15" t="s">
        <v>544</v>
      </c>
      <c r="AB8" s="14"/>
      <c r="AC8" s="15" t="s">
        <v>544</v>
      </c>
    </row>
    <row r="9" spans="1:29" s="91" customFormat="1" ht="13.2" x14ac:dyDescent="0.25">
      <c r="A9" s="111" t="s">
        <v>0</v>
      </c>
      <c r="B9" s="112" t="s">
        <v>1</v>
      </c>
      <c r="C9" s="112"/>
      <c r="D9" s="106" t="s">
        <v>494</v>
      </c>
      <c r="E9" s="106" t="s">
        <v>495</v>
      </c>
      <c r="F9" s="106" t="s">
        <v>502</v>
      </c>
      <c r="G9" s="106" t="s">
        <v>505</v>
      </c>
      <c r="H9" s="106" t="s">
        <v>541</v>
      </c>
      <c r="I9" s="106" t="s">
        <v>504</v>
      </c>
      <c r="J9" s="106" t="s">
        <v>394</v>
      </c>
      <c r="K9" s="106" t="s">
        <v>395</v>
      </c>
      <c r="L9" s="106" t="s">
        <v>492</v>
      </c>
      <c r="M9" s="106" t="s">
        <v>458</v>
      </c>
      <c r="N9" s="106" t="s">
        <v>459</v>
      </c>
      <c r="O9" s="106" t="s">
        <v>460</v>
      </c>
      <c r="P9" s="106" t="s">
        <v>493</v>
      </c>
      <c r="Q9" s="106" t="s">
        <v>461</v>
      </c>
      <c r="R9" s="106" t="s">
        <v>516</v>
      </c>
      <c r="S9" s="106" t="s">
        <v>517</v>
      </c>
      <c r="T9" s="106" t="s">
        <v>518</v>
      </c>
      <c r="U9" s="106" t="s">
        <v>572</v>
      </c>
      <c r="V9" s="106" t="s">
        <v>573</v>
      </c>
      <c r="W9" s="106" t="s">
        <v>569</v>
      </c>
      <c r="X9" s="106" t="s">
        <v>570</v>
      </c>
      <c r="Y9" s="106" t="s">
        <v>571</v>
      </c>
      <c r="Z9" s="106" t="s">
        <v>543</v>
      </c>
      <c r="AA9" s="106" t="s">
        <v>542</v>
      </c>
      <c r="AB9" s="113" t="s">
        <v>600</v>
      </c>
      <c r="AC9" s="106" t="s">
        <v>542</v>
      </c>
    </row>
    <row r="10" spans="1:29" s="91" customFormat="1" ht="44.4" customHeight="1" x14ac:dyDescent="0.25">
      <c r="A10" s="111"/>
      <c r="B10" s="92" t="s">
        <v>2</v>
      </c>
      <c r="C10" s="92" t="s">
        <v>3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13"/>
      <c r="AC10" s="106"/>
    </row>
    <row r="11" spans="1:29" s="16" customFormat="1" ht="13.2" x14ac:dyDescent="0.25">
      <c r="A11" s="1" t="s">
        <v>4</v>
      </c>
      <c r="B11" s="7" t="s">
        <v>5</v>
      </c>
      <c r="C11" s="18" t="s">
        <v>6</v>
      </c>
      <c r="D11" s="4">
        <f t="shared" ref="D11:P11" si="0">+D12+D19+D29+D46+D54+D68+D102+D113+D128+D139+D212+D61</f>
        <v>838222664</v>
      </c>
      <c r="E11" s="4">
        <f t="shared" si="0"/>
        <v>859994745</v>
      </c>
      <c r="F11" s="4">
        <f t="shared" si="0"/>
        <v>859994745</v>
      </c>
      <c r="G11" s="4">
        <f t="shared" si="0"/>
        <v>868571410</v>
      </c>
      <c r="H11" s="4">
        <f t="shared" si="0"/>
        <v>1009884294.7</v>
      </c>
      <c r="I11" s="4">
        <f t="shared" si="0"/>
        <v>56317004.359999999</v>
      </c>
      <c r="J11" s="4">
        <f t="shared" si="0"/>
        <v>74915307.36999999</v>
      </c>
      <c r="K11" s="4">
        <f t="shared" si="0"/>
        <v>98522419.539999992</v>
      </c>
      <c r="L11" s="4">
        <f t="shared" si="0"/>
        <v>229754731.26999995</v>
      </c>
      <c r="M11" s="4">
        <f t="shared" si="0"/>
        <v>111163437.15000004</v>
      </c>
      <c r="N11" s="4">
        <f t="shared" si="0"/>
        <v>65014945.149999991</v>
      </c>
      <c r="O11" s="4">
        <f t="shared" si="0"/>
        <v>74509598.269999996</v>
      </c>
      <c r="P11" s="4">
        <f t="shared" si="0"/>
        <v>250687980.56999996</v>
      </c>
      <c r="Q11" s="4">
        <f>L11+P11</f>
        <v>480442711.83999991</v>
      </c>
      <c r="R11" s="4">
        <f>+R12+R19+R29+R46+R54+R68+R102+R113+R128+R139+R212+R61</f>
        <v>111970157.44</v>
      </c>
      <c r="S11" s="4">
        <f>+S12+S19+S29+S46+S54+S68+S102+S113+S128+S139+S212+S61</f>
        <v>61732782.539999999</v>
      </c>
      <c r="T11" s="4">
        <f>+T12+T19+T29+T46+T54+T68+T102+T113+T128+T139+T212+T61</f>
        <v>66840765.86999999</v>
      </c>
      <c r="U11" s="4">
        <f>R11+S11+T11</f>
        <v>240543705.84999996</v>
      </c>
      <c r="V11" s="4">
        <f>L11+P11+U11</f>
        <v>720986417.68999982</v>
      </c>
      <c r="W11" s="4">
        <f>+W12+W19+W29+W46+W54+W68+W102+W113+W128+W139+W212+W61</f>
        <v>111778129.28999998</v>
      </c>
      <c r="X11" s="67">
        <f>+X12+X19+X29+X46+X54+X68+X102+X113+X128+X139+X212+X61</f>
        <v>80689580.020000026</v>
      </c>
      <c r="Y11" s="4">
        <f>+Y12+Y19+Y29+Y46+Y54+Y68+Y102+Y113+Y128+Y139+Y212+Y61</f>
        <v>98460531.329999998</v>
      </c>
      <c r="Z11" s="4">
        <f>L11+P11+U11+W11+X11+Y11</f>
        <v>1011914658.3299998</v>
      </c>
      <c r="AA11" s="5">
        <f>V11/H11*100</f>
        <v>71.392972588426943</v>
      </c>
      <c r="AB11" s="4">
        <f>Z11-H11</f>
        <v>2030363.6299997568</v>
      </c>
      <c r="AC11" s="4">
        <f>Z11/H11*100</f>
        <v>100.20104913410925</v>
      </c>
    </row>
    <row r="12" spans="1:29" x14ac:dyDescent="0.25">
      <c r="A12" s="1" t="s">
        <v>7</v>
      </c>
      <c r="B12" s="7" t="s">
        <v>5</v>
      </c>
      <c r="C12" s="3" t="s">
        <v>8</v>
      </c>
      <c r="D12" s="4">
        <f t="shared" ref="D12:O12" si="1">+D13</f>
        <v>504478000</v>
      </c>
      <c r="E12" s="4">
        <f t="shared" si="1"/>
        <v>504978000</v>
      </c>
      <c r="F12" s="4">
        <f t="shared" si="1"/>
        <v>504978000</v>
      </c>
      <c r="G12" s="4">
        <f t="shared" si="1"/>
        <v>508430000</v>
      </c>
      <c r="H12" s="4">
        <f t="shared" si="1"/>
        <v>571700000</v>
      </c>
      <c r="I12" s="4">
        <f t="shared" si="1"/>
        <v>29891093.539999995</v>
      </c>
      <c r="J12" s="4">
        <f t="shared" si="1"/>
        <v>42908848.100000001</v>
      </c>
      <c r="K12" s="4">
        <f t="shared" si="1"/>
        <v>49346315.719999999</v>
      </c>
      <c r="L12" s="4">
        <f>+L13</f>
        <v>122146257.36</v>
      </c>
      <c r="M12" s="4">
        <f t="shared" si="1"/>
        <v>49980596.790000007</v>
      </c>
      <c r="N12" s="4">
        <f t="shared" si="1"/>
        <v>37605876.359999999</v>
      </c>
      <c r="O12" s="4">
        <f t="shared" si="1"/>
        <v>48537270.599999994</v>
      </c>
      <c r="P12" s="4">
        <f>+P13</f>
        <v>136123743.75</v>
      </c>
      <c r="Q12" s="4">
        <f t="shared" ref="Q12:Q78" si="2">L12+P12</f>
        <v>258270001.11000001</v>
      </c>
      <c r="R12" s="4">
        <f t="shared" ref="R12:T12" si="3">+R13</f>
        <v>57809791.149999999</v>
      </c>
      <c r="S12" s="4">
        <f t="shared" si="3"/>
        <v>36694555.530000001</v>
      </c>
      <c r="T12" s="4">
        <f t="shared" si="3"/>
        <v>46637485.490000002</v>
      </c>
      <c r="U12" s="4">
        <f t="shared" ref="U12:U76" si="4">R12+S12+T12</f>
        <v>141141832.17000002</v>
      </c>
      <c r="V12" s="4">
        <f t="shared" ref="V12:V76" si="5">L12+P12+U12</f>
        <v>399411833.28000003</v>
      </c>
      <c r="W12" s="4">
        <f t="shared" ref="W12:Y12" si="6">+W13</f>
        <v>51538922.120000005</v>
      </c>
      <c r="X12" s="67">
        <f t="shared" si="6"/>
        <v>49856085.590000004</v>
      </c>
      <c r="Y12" s="4">
        <f t="shared" si="6"/>
        <v>70068048.699999988</v>
      </c>
      <c r="Z12" s="4">
        <f t="shared" ref="Z12:Z76" si="7">L12+P12+U12+W12+X12+Y12</f>
        <v>570874889.69000006</v>
      </c>
      <c r="AA12" s="5">
        <f t="shared" ref="AA12:AA76" si="8">V12/H12*100</f>
        <v>69.863885478397776</v>
      </c>
      <c r="AB12" s="4">
        <f t="shared" ref="AB12:AB75" si="9">Z12-H12</f>
        <v>-825110.30999994278</v>
      </c>
      <c r="AC12" s="4">
        <f t="shared" ref="AC12:AC75" si="10">Z12/H12*100</f>
        <v>99.85567425048103</v>
      </c>
    </row>
    <row r="13" spans="1:29" s="16" customFormat="1" ht="13.2" x14ac:dyDescent="0.25">
      <c r="A13" s="1" t="s">
        <v>9</v>
      </c>
      <c r="B13" s="7" t="s">
        <v>5</v>
      </c>
      <c r="C13" s="3" t="s">
        <v>10</v>
      </c>
      <c r="D13" s="4">
        <f t="shared" ref="D13:J13" si="11">+D14+D15+D17+D16+D18</f>
        <v>504478000</v>
      </c>
      <c r="E13" s="4">
        <f t="shared" si="11"/>
        <v>504978000</v>
      </c>
      <c r="F13" s="4">
        <f t="shared" si="11"/>
        <v>504978000</v>
      </c>
      <c r="G13" s="4">
        <f t="shared" si="11"/>
        <v>508430000</v>
      </c>
      <c r="H13" s="4">
        <f t="shared" si="11"/>
        <v>571700000</v>
      </c>
      <c r="I13" s="4">
        <f t="shared" si="11"/>
        <v>29891093.539999995</v>
      </c>
      <c r="J13" s="4">
        <f t="shared" si="11"/>
        <v>42908848.100000001</v>
      </c>
      <c r="K13" s="4">
        <f>+K14+K15+K17+K16+K18</f>
        <v>49346315.719999999</v>
      </c>
      <c r="L13" s="4">
        <f>+L14+L15+L17+L16+L18</f>
        <v>122146257.36</v>
      </c>
      <c r="M13" s="4">
        <f t="shared" ref="M13:N13" si="12">+M14+M15+M17+M16+M18</f>
        <v>49980596.790000007</v>
      </c>
      <c r="N13" s="4">
        <f t="shared" si="12"/>
        <v>37605876.359999999</v>
      </c>
      <c r="O13" s="4">
        <f>+O14+O15+O17+O16+O18</f>
        <v>48537270.599999994</v>
      </c>
      <c r="P13" s="4">
        <f>+P14+P15+P17+P16+P18</f>
        <v>136123743.75</v>
      </c>
      <c r="Q13" s="4">
        <f t="shared" si="2"/>
        <v>258270001.11000001</v>
      </c>
      <c r="R13" s="4">
        <f>+R14+R15+R17+R16+R18</f>
        <v>57809791.149999999</v>
      </c>
      <c r="S13" s="4">
        <f>+S14+S15+S17+S16+S18</f>
        <v>36694555.530000001</v>
      </c>
      <c r="T13" s="4">
        <f>+T14+T15+T17+T16+T18</f>
        <v>46637485.490000002</v>
      </c>
      <c r="U13" s="4">
        <f t="shared" si="4"/>
        <v>141141832.17000002</v>
      </c>
      <c r="V13" s="4">
        <f t="shared" si="5"/>
        <v>399411833.28000003</v>
      </c>
      <c r="W13" s="4">
        <f>+W14+W15+W17+W16+W18</f>
        <v>51538922.120000005</v>
      </c>
      <c r="X13" s="67">
        <f>+X14+X15+X17+X16+X18</f>
        <v>49856085.590000004</v>
      </c>
      <c r="Y13" s="4">
        <f>+Y14+Y15+Y17+Y16+Y18</f>
        <v>70068048.699999988</v>
      </c>
      <c r="Z13" s="4">
        <f t="shared" si="7"/>
        <v>570874889.69000006</v>
      </c>
      <c r="AA13" s="5">
        <f t="shared" si="8"/>
        <v>69.863885478397776</v>
      </c>
      <c r="AB13" s="4">
        <f t="shared" si="9"/>
        <v>-825110.30999994278</v>
      </c>
      <c r="AC13" s="4">
        <f t="shared" si="10"/>
        <v>99.85567425048103</v>
      </c>
    </row>
    <row r="14" spans="1:29" s="16" customFormat="1" ht="66" x14ac:dyDescent="0.25">
      <c r="A14" s="96" t="s">
        <v>11</v>
      </c>
      <c r="B14" s="2" t="s">
        <v>12</v>
      </c>
      <c r="C14" s="2" t="s">
        <v>13</v>
      </c>
      <c r="D14" s="4">
        <v>484568000</v>
      </c>
      <c r="E14" s="4">
        <v>484568000</v>
      </c>
      <c r="F14" s="4">
        <v>484568000</v>
      </c>
      <c r="G14" s="4">
        <v>484568000</v>
      </c>
      <c r="H14" s="4">
        <v>505000000</v>
      </c>
      <c r="I14" s="4">
        <v>29390643.09</v>
      </c>
      <c r="J14" s="4">
        <v>41972633.609999999</v>
      </c>
      <c r="K14" s="4">
        <v>47142336.490000002</v>
      </c>
      <c r="L14" s="4">
        <f>I14+J14+K14</f>
        <v>118505613.19</v>
      </c>
      <c r="M14" s="4">
        <v>45968779.530000001</v>
      </c>
      <c r="N14" s="4">
        <v>35541674.859999999</v>
      </c>
      <c r="O14" s="4">
        <v>43994404.030000001</v>
      </c>
      <c r="P14" s="4">
        <f>M14+N14+O14</f>
        <v>125504858.42</v>
      </c>
      <c r="Q14" s="4">
        <f t="shared" si="2"/>
        <v>244010471.61000001</v>
      </c>
      <c r="R14" s="4">
        <v>36159978.780000001</v>
      </c>
      <c r="S14" s="4">
        <v>33022506.57</v>
      </c>
      <c r="T14" s="4">
        <v>40774034.909999996</v>
      </c>
      <c r="U14" s="4">
        <f t="shared" si="4"/>
        <v>109956520.25999999</v>
      </c>
      <c r="V14" s="4">
        <f t="shared" si="5"/>
        <v>353966991.87</v>
      </c>
      <c r="W14" s="4">
        <v>42224962.380000003</v>
      </c>
      <c r="X14" s="67">
        <v>43938642.460000001</v>
      </c>
      <c r="Y14" s="4">
        <v>65890441.68</v>
      </c>
      <c r="Z14" s="4">
        <f t="shared" si="7"/>
        <v>506021038.38999999</v>
      </c>
      <c r="AA14" s="5">
        <f t="shared" si="8"/>
        <v>70.092473637623769</v>
      </c>
      <c r="AB14" s="4">
        <f t="shared" si="9"/>
        <v>1021038.3899999857</v>
      </c>
      <c r="AC14" s="4">
        <f t="shared" si="10"/>
        <v>100.20218581980198</v>
      </c>
    </row>
    <row r="15" spans="1:29" s="16" customFormat="1" ht="92.4" x14ac:dyDescent="0.25">
      <c r="A15" s="96" t="s">
        <v>14</v>
      </c>
      <c r="B15" s="2" t="s">
        <v>12</v>
      </c>
      <c r="C15" s="2" t="s">
        <v>15</v>
      </c>
      <c r="D15" s="4">
        <v>8200000</v>
      </c>
      <c r="E15" s="4">
        <v>8200000</v>
      </c>
      <c r="F15" s="4">
        <v>8200000</v>
      </c>
      <c r="G15" s="4">
        <v>8200000</v>
      </c>
      <c r="H15" s="4">
        <v>26700000</v>
      </c>
      <c r="I15" s="4">
        <v>16459.810000000001</v>
      </c>
      <c r="J15" s="4">
        <v>44436.959999999999</v>
      </c>
      <c r="K15" s="4">
        <v>137821.25</v>
      </c>
      <c r="L15" s="4">
        <f>I15+J15+K15</f>
        <v>198718.02000000002</v>
      </c>
      <c r="M15" s="4">
        <v>1317656.83</v>
      </c>
      <c r="N15" s="4">
        <v>700162.96</v>
      </c>
      <c r="O15" s="4">
        <v>245880.94</v>
      </c>
      <c r="P15" s="4">
        <f>M15+N15+O15</f>
        <v>2263700.73</v>
      </c>
      <c r="Q15" s="4">
        <f t="shared" si="2"/>
        <v>2462418.75</v>
      </c>
      <c r="R15" s="4">
        <v>16158492.970000001</v>
      </c>
      <c r="S15" s="4">
        <v>429733.62</v>
      </c>
      <c r="T15" s="4">
        <v>2395623.4500000002</v>
      </c>
      <c r="U15" s="4">
        <f t="shared" si="4"/>
        <v>18983850.039999999</v>
      </c>
      <c r="V15" s="4">
        <f t="shared" si="5"/>
        <v>21446268.789999999</v>
      </c>
      <c r="W15" s="4">
        <v>1978836.59</v>
      </c>
      <c r="X15" s="67">
        <v>491611.39</v>
      </c>
      <c r="Y15" s="4">
        <v>21163.27</v>
      </c>
      <c r="Z15" s="4">
        <f t="shared" si="7"/>
        <v>23937880.039999999</v>
      </c>
      <c r="AA15" s="5">
        <f t="shared" si="8"/>
        <v>80.323104082396995</v>
      </c>
      <c r="AB15" s="4">
        <f t="shared" si="9"/>
        <v>-2762119.9600000009</v>
      </c>
      <c r="AC15" s="4">
        <f t="shared" si="10"/>
        <v>89.654981423220974</v>
      </c>
    </row>
    <row r="16" spans="1:29" s="16" customFormat="1" ht="39.6" x14ac:dyDescent="0.25">
      <c r="A16" s="96" t="s">
        <v>16</v>
      </c>
      <c r="B16" s="2" t="s">
        <v>12</v>
      </c>
      <c r="C16" s="2" t="s">
        <v>17</v>
      </c>
      <c r="D16" s="4">
        <v>3160000</v>
      </c>
      <c r="E16" s="4">
        <v>3160000</v>
      </c>
      <c r="F16" s="4">
        <v>3160000</v>
      </c>
      <c r="G16" s="4">
        <v>3160000</v>
      </c>
      <c r="H16" s="4">
        <v>5000000</v>
      </c>
      <c r="I16" s="4">
        <v>32194.83</v>
      </c>
      <c r="J16" s="4">
        <v>206689.77</v>
      </c>
      <c r="K16" s="4">
        <v>1223283.8700000001</v>
      </c>
      <c r="L16" s="4">
        <f>I16+J16+K16</f>
        <v>1462168.4700000002</v>
      </c>
      <c r="M16" s="4">
        <v>361463.02</v>
      </c>
      <c r="N16" s="4">
        <v>290474.76</v>
      </c>
      <c r="O16" s="4">
        <v>760825.76</v>
      </c>
      <c r="P16" s="4">
        <f t="shared" ref="P16" si="13">M16+N16+O16</f>
        <v>1412763.54</v>
      </c>
      <c r="Q16" s="4">
        <f t="shared" si="2"/>
        <v>2874932.0100000002</v>
      </c>
      <c r="R16" s="4">
        <v>933548.06</v>
      </c>
      <c r="S16" s="4">
        <v>117071.15</v>
      </c>
      <c r="T16" s="4">
        <v>397454.31</v>
      </c>
      <c r="U16" s="4">
        <f t="shared" si="4"/>
        <v>1448073.52</v>
      </c>
      <c r="V16" s="4">
        <f t="shared" si="5"/>
        <v>4323005.53</v>
      </c>
      <c r="W16" s="4">
        <v>147794.32</v>
      </c>
      <c r="X16" s="67">
        <v>260306.62</v>
      </c>
      <c r="Y16" s="4">
        <v>-78637.259999999995</v>
      </c>
      <c r="Z16" s="4">
        <f t="shared" si="7"/>
        <v>4652469.2100000009</v>
      </c>
      <c r="AA16" s="5">
        <f t="shared" si="8"/>
        <v>86.460110600000007</v>
      </c>
      <c r="AB16" s="4">
        <f t="shared" si="9"/>
        <v>-347530.78999999911</v>
      </c>
      <c r="AC16" s="4">
        <f t="shared" si="10"/>
        <v>93.04938420000002</v>
      </c>
    </row>
    <row r="17" spans="1:29" s="16" customFormat="1" ht="79.2" x14ac:dyDescent="0.25">
      <c r="A17" s="96" t="s">
        <v>18</v>
      </c>
      <c r="B17" s="2" t="s">
        <v>12</v>
      </c>
      <c r="C17" s="2" t="s">
        <v>19</v>
      </c>
      <c r="D17" s="4">
        <v>8550000</v>
      </c>
      <c r="E17" s="4">
        <v>8550000</v>
      </c>
      <c r="F17" s="4">
        <v>8550000</v>
      </c>
      <c r="G17" s="4">
        <v>8550000</v>
      </c>
      <c r="H17" s="4">
        <v>14500000</v>
      </c>
      <c r="I17" s="4">
        <v>451795.81</v>
      </c>
      <c r="J17" s="4">
        <v>685087.76</v>
      </c>
      <c r="K17" s="4">
        <v>802751.32</v>
      </c>
      <c r="L17" s="4">
        <f>I17+J17+K17</f>
        <v>1939634.8900000001</v>
      </c>
      <c r="M17" s="4">
        <v>948086.13</v>
      </c>
      <c r="N17" s="4">
        <v>545910.29</v>
      </c>
      <c r="O17" s="4">
        <v>863164.54</v>
      </c>
      <c r="P17" s="4">
        <f>M17+N17+O17</f>
        <v>2357160.96</v>
      </c>
      <c r="Q17" s="4">
        <f t="shared" si="2"/>
        <v>4296795.8499999996</v>
      </c>
      <c r="R17" s="4">
        <v>1259478.69</v>
      </c>
      <c r="S17" s="4">
        <v>2207583.4900000002</v>
      </c>
      <c r="T17" s="4">
        <v>1942956.01</v>
      </c>
      <c r="U17" s="4">
        <f t="shared" si="4"/>
        <v>5410018.1900000004</v>
      </c>
      <c r="V17" s="4">
        <f t="shared" si="5"/>
        <v>9706814.0399999991</v>
      </c>
      <c r="W17" s="4">
        <v>1659153.28</v>
      </c>
      <c r="X17" s="67">
        <v>1691139.56</v>
      </c>
      <c r="Y17" s="4">
        <v>2142107.4900000002</v>
      </c>
      <c r="Z17" s="4">
        <f t="shared" si="7"/>
        <v>15199214.369999999</v>
      </c>
      <c r="AA17" s="5">
        <f t="shared" si="8"/>
        <v>66.943545103448258</v>
      </c>
      <c r="AB17" s="4">
        <f t="shared" si="9"/>
        <v>699214.36999999918</v>
      </c>
      <c r="AC17" s="4">
        <f t="shared" si="10"/>
        <v>104.82216806896551</v>
      </c>
    </row>
    <row r="18" spans="1:29" s="16" customFormat="1" ht="79.2" x14ac:dyDescent="0.25">
      <c r="A18" s="96" t="s">
        <v>465</v>
      </c>
      <c r="B18" s="2" t="s">
        <v>12</v>
      </c>
      <c r="C18" s="2" t="s">
        <v>462</v>
      </c>
      <c r="D18" s="4">
        <v>0</v>
      </c>
      <c r="E18" s="4">
        <v>500000</v>
      </c>
      <c r="F18" s="4">
        <v>500000</v>
      </c>
      <c r="G18" s="4">
        <f>500000+3452000</f>
        <v>3952000</v>
      </c>
      <c r="H18" s="4">
        <v>20500000</v>
      </c>
      <c r="I18" s="4">
        <v>0</v>
      </c>
      <c r="J18" s="4">
        <v>0</v>
      </c>
      <c r="K18" s="4">
        <v>40122.79</v>
      </c>
      <c r="L18" s="4">
        <f>I18+J18+K18</f>
        <v>40122.79</v>
      </c>
      <c r="M18" s="4">
        <v>1384611.28</v>
      </c>
      <c r="N18" s="4">
        <v>527653.49</v>
      </c>
      <c r="O18" s="4">
        <v>2672995.33</v>
      </c>
      <c r="P18" s="4">
        <f>M18+N18+O18</f>
        <v>4585260.0999999996</v>
      </c>
      <c r="Q18" s="4">
        <f t="shared" si="2"/>
        <v>4625382.8899999997</v>
      </c>
      <c r="R18" s="4">
        <v>3298292.65</v>
      </c>
      <c r="S18" s="4">
        <v>917660.7</v>
      </c>
      <c r="T18" s="4">
        <v>1127416.81</v>
      </c>
      <c r="U18" s="4">
        <f t="shared" si="4"/>
        <v>5343370.16</v>
      </c>
      <c r="V18" s="4">
        <f t="shared" si="5"/>
        <v>9968753.0500000007</v>
      </c>
      <c r="W18" s="4">
        <v>5528175.5499999998</v>
      </c>
      <c r="X18" s="67">
        <v>3474385.56</v>
      </c>
      <c r="Y18" s="4">
        <v>2092973.52</v>
      </c>
      <c r="Z18" s="4">
        <f t="shared" si="7"/>
        <v>21064287.68</v>
      </c>
      <c r="AA18" s="5">
        <f t="shared" si="8"/>
        <v>48.62806365853659</v>
      </c>
      <c r="AB18" s="4">
        <f t="shared" si="9"/>
        <v>564287.6799999997</v>
      </c>
      <c r="AC18" s="4">
        <f t="shared" si="10"/>
        <v>102.75262282926829</v>
      </c>
    </row>
    <row r="19" spans="1:29" s="16" customFormat="1" ht="26.4" x14ac:dyDescent="0.25">
      <c r="A19" s="96" t="s">
        <v>20</v>
      </c>
      <c r="B19" s="2" t="s">
        <v>5</v>
      </c>
      <c r="C19" s="2" t="s">
        <v>21</v>
      </c>
      <c r="D19" s="4">
        <f t="shared" ref="D19:T19" si="14">+D20</f>
        <v>9268620</v>
      </c>
      <c r="E19" s="4">
        <f t="shared" si="14"/>
        <v>9268620</v>
      </c>
      <c r="F19" s="4">
        <f t="shared" si="14"/>
        <v>9268620</v>
      </c>
      <c r="G19" s="4">
        <f t="shared" si="14"/>
        <v>9268620</v>
      </c>
      <c r="H19" s="4">
        <f t="shared" si="14"/>
        <v>9268620</v>
      </c>
      <c r="I19" s="4">
        <f t="shared" si="14"/>
        <v>710021.18</v>
      </c>
      <c r="J19" s="4">
        <f t="shared" si="14"/>
        <v>5097.7099999999973</v>
      </c>
      <c r="K19" s="4">
        <f t="shared" si="14"/>
        <v>1363096.05</v>
      </c>
      <c r="L19" s="4">
        <f t="shared" si="14"/>
        <v>2078214.94</v>
      </c>
      <c r="M19" s="4">
        <f t="shared" si="14"/>
        <v>780031.24000000011</v>
      </c>
      <c r="N19" s="4">
        <f t="shared" si="14"/>
        <v>759937.95</v>
      </c>
      <c r="O19" s="4">
        <f t="shared" si="14"/>
        <v>742149.69</v>
      </c>
      <c r="P19" s="4">
        <f t="shared" si="14"/>
        <v>2282118.88</v>
      </c>
      <c r="Q19" s="4">
        <f t="shared" si="2"/>
        <v>4360333.82</v>
      </c>
      <c r="R19" s="4">
        <f t="shared" si="14"/>
        <v>803120.35</v>
      </c>
      <c r="S19" s="4">
        <f t="shared" si="14"/>
        <v>808995.46</v>
      </c>
      <c r="T19" s="4">
        <f t="shared" si="14"/>
        <v>900548.48</v>
      </c>
      <c r="U19" s="4">
        <f t="shared" si="4"/>
        <v>2512664.29</v>
      </c>
      <c r="V19" s="4">
        <f t="shared" si="5"/>
        <v>6872998.1100000003</v>
      </c>
      <c r="W19" s="4">
        <f t="shared" ref="W19:Y19" si="15">+W20</f>
        <v>859743.81</v>
      </c>
      <c r="X19" s="67">
        <f t="shared" si="15"/>
        <v>875423.84</v>
      </c>
      <c r="Y19" s="4">
        <f t="shared" si="15"/>
        <v>838640.19000000006</v>
      </c>
      <c r="Z19" s="4">
        <f t="shared" si="7"/>
        <v>9446805.9499999993</v>
      </c>
      <c r="AA19" s="5">
        <f t="shared" si="8"/>
        <v>74.153413453135414</v>
      </c>
      <c r="AB19" s="4">
        <f t="shared" si="9"/>
        <v>178185.94999999925</v>
      </c>
      <c r="AC19" s="4">
        <f t="shared" si="10"/>
        <v>101.92246472506154</v>
      </c>
    </row>
    <row r="20" spans="1:29" s="16" customFormat="1" ht="26.4" x14ac:dyDescent="0.25">
      <c r="A20" s="19" t="s">
        <v>22</v>
      </c>
      <c r="B20" s="2" t="s">
        <v>5</v>
      </c>
      <c r="C20" s="2" t="s">
        <v>23</v>
      </c>
      <c r="D20" s="4">
        <f t="shared" ref="D20:P20" si="16">+D21+D23+D25+D27</f>
        <v>9268620</v>
      </c>
      <c r="E20" s="4">
        <f t="shared" si="16"/>
        <v>9268620</v>
      </c>
      <c r="F20" s="4">
        <f t="shared" si="16"/>
        <v>9268620</v>
      </c>
      <c r="G20" s="4">
        <f t="shared" si="16"/>
        <v>9268620</v>
      </c>
      <c r="H20" s="4">
        <f t="shared" si="16"/>
        <v>9268620</v>
      </c>
      <c r="I20" s="4">
        <f t="shared" si="16"/>
        <v>710021.18</v>
      </c>
      <c r="J20" s="4">
        <f t="shared" si="16"/>
        <v>5097.7099999999973</v>
      </c>
      <c r="K20" s="4">
        <f t="shared" si="16"/>
        <v>1363096.05</v>
      </c>
      <c r="L20" s="4">
        <f t="shared" si="16"/>
        <v>2078214.94</v>
      </c>
      <c r="M20" s="4">
        <f t="shared" si="16"/>
        <v>780031.24000000011</v>
      </c>
      <c r="N20" s="4">
        <f t="shared" si="16"/>
        <v>759937.95</v>
      </c>
      <c r="O20" s="4">
        <f t="shared" si="16"/>
        <v>742149.69</v>
      </c>
      <c r="P20" s="4">
        <f t="shared" si="16"/>
        <v>2282118.88</v>
      </c>
      <c r="Q20" s="4">
        <f t="shared" si="2"/>
        <v>4360333.82</v>
      </c>
      <c r="R20" s="4">
        <f t="shared" ref="R20:T20" si="17">+R21+R23+R25+R27</f>
        <v>803120.35</v>
      </c>
      <c r="S20" s="4">
        <f t="shared" si="17"/>
        <v>808995.46</v>
      </c>
      <c r="T20" s="4">
        <f t="shared" si="17"/>
        <v>900548.48</v>
      </c>
      <c r="U20" s="4">
        <f t="shared" si="4"/>
        <v>2512664.29</v>
      </c>
      <c r="V20" s="4">
        <f t="shared" si="5"/>
        <v>6872998.1100000003</v>
      </c>
      <c r="W20" s="4">
        <f t="shared" ref="W20:Y20" si="18">+W21+W23+W25+W27</f>
        <v>859743.81</v>
      </c>
      <c r="X20" s="67">
        <f t="shared" si="18"/>
        <v>875423.84</v>
      </c>
      <c r="Y20" s="4">
        <f t="shared" si="18"/>
        <v>838640.19000000006</v>
      </c>
      <c r="Z20" s="4">
        <f t="shared" si="7"/>
        <v>9446805.9499999993</v>
      </c>
      <c r="AA20" s="5">
        <f t="shared" si="8"/>
        <v>74.153413453135414</v>
      </c>
      <c r="AB20" s="4">
        <f t="shared" si="9"/>
        <v>178185.94999999925</v>
      </c>
      <c r="AC20" s="4">
        <f t="shared" si="10"/>
        <v>101.92246472506154</v>
      </c>
    </row>
    <row r="21" spans="1:29" s="16" customFormat="1" ht="52.8" x14ac:dyDescent="0.25">
      <c r="A21" s="19" t="s">
        <v>24</v>
      </c>
      <c r="B21" s="2" t="s">
        <v>5</v>
      </c>
      <c r="C21" s="2" t="s">
        <v>25</v>
      </c>
      <c r="D21" s="4">
        <f t="shared" ref="D21:T21" si="19">+D22</f>
        <v>4255820</v>
      </c>
      <c r="E21" s="4">
        <f t="shared" si="19"/>
        <v>4255820</v>
      </c>
      <c r="F21" s="4">
        <f t="shared" si="19"/>
        <v>4255820</v>
      </c>
      <c r="G21" s="4">
        <f t="shared" si="19"/>
        <v>4255820</v>
      </c>
      <c r="H21" s="4">
        <f t="shared" si="19"/>
        <v>4255820</v>
      </c>
      <c r="I21" s="4">
        <f t="shared" si="19"/>
        <v>326110.40999999997</v>
      </c>
      <c r="J21" s="4">
        <f t="shared" si="19"/>
        <v>9705.43</v>
      </c>
      <c r="K21" s="4">
        <f t="shared" si="19"/>
        <v>596849.89</v>
      </c>
      <c r="L21" s="4">
        <f t="shared" si="19"/>
        <v>932665.73</v>
      </c>
      <c r="M21" s="4">
        <f t="shared" si="19"/>
        <v>358707.20000000001</v>
      </c>
      <c r="N21" s="4">
        <f t="shared" si="19"/>
        <v>348380.66</v>
      </c>
      <c r="O21" s="4">
        <f t="shared" si="19"/>
        <v>332012.67</v>
      </c>
      <c r="P21" s="4">
        <f t="shared" si="19"/>
        <v>1039100.53</v>
      </c>
      <c r="Q21" s="4">
        <f t="shared" si="2"/>
        <v>1971766.26</v>
      </c>
      <c r="R21" s="4">
        <f t="shared" si="19"/>
        <v>348352.94</v>
      </c>
      <c r="S21" s="4">
        <f t="shared" si="19"/>
        <v>379126.94</v>
      </c>
      <c r="T21" s="4">
        <f t="shared" si="19"/>
        <v>418151.91</v>
      </c>
      <c r="U21" s="4">
        <f t="shared" si="4"/>
        <v>1145631.79</v>
      </c>
      <c r="V21" s="4">
        <f t="shared" si="5"/>
        <v>3117398.05</v>
      </c>
      <c r="W21" s="4">
        <f t="shared" ref="W21:Y21" si="20">+W22</f>
        <v>418106.84</v>
      </c>
      <c r="X21" s="67">
        <f t="shared" si="20"/>
        <v>410113.23</v>
      </c>
      <c r="Y21" s="4">
        <f t="shared" si="20"/>
        <v>415590.42</v>
      </c>
      <c r="Z21" s="4">
        <f t="shared" si="7"/>
        <v>4361208.54</v>
      </c>
      <c r="AA21" s="5">
        <f t="shared" si="8"/>
        <v>73.250232622620317</v>
      </c>
      <c r="AB21" s="4">
        <f t="shared" si="9"/>
        <v>105388.54000000004</v>
      </c>
      <c r="AC21" s="4">
        <f t="shared" si="10"/>
        <v>102.47633922487323</v>
      </c>
    </row>
    <row r="22" spans="1:29" s="16" customFormat="1" ht="92.4" x14ac:dyDescent="0.25">
      <c r="A22" s="19" t="s">
        <v>26</v>
      </c>
      <c r="B22" s="20">
        <v>100</v>
      </c>
      <c r="C22" s="21" t="s">
        <v>27</v>
      </c>
      <c r="D22" s="22">
        <f>4355971-100151</f>
        <v>4255820</v>
      </c>
      <c r="E22" s="22">
        <f>4355971-100151</f>
        <v>4255820</v>
      </c>
      <c r="F22" s="22">
        <f>4355971-100151</f>
        <v>4255820</v>
      </c>
      <c r="G22" s="22">
        <f>4355971-100151</f>
        <v>4255820</v>
      </c>
      <c r="H22" s="22">
        <f>4355971-100151</f>
        <v>4255820</v>
      </c>
      <c r="I22" s="22">
        <v>326110.40999999997</v>
      </c>
      <c r="J22" s="22">
        <v>9705.43</v>
      </c>
      <c r="K22" s="22">
        <v>596849.89</v>
      </c>
      <c r="L22" s="22">
        <f>I22+J22+K22</f>
        <v>932665.73</v>
      </c>
      <c r="M22" s="22">
        <v>358707.20000000001</v>
      </c>
      <c r="N22" s="22">
        <v>348380.66</v>
      </c>
      <c r="O22" s="22">
        <v>332012.67</v>
      </c>
      <c r="P22" s="22">
        <f>M22+N22+O22</f>
        <v>1039100.53</v>
      </c>
      <c r="Q22" s="4">
        <f t="shared" si="2"/>
        <v>1971766.26</v>
      </c>
      <c r="R22" s="22">
        <v>348352.94</v>
      </c>
      <c r="S22" s="22">
        <v>379126.94</v>
      </c>
      <c r="T22" s="22">
        <v>418151.91</v>
      </c>
      <c r="U22" s="4">
        <f t="shared" si="4"/>
        <v>1145631.79</v>
      </c>
      <c r="V22" s="4">
        <f t="shared" si="5"/>
        <v>3117398.05</v>
      </c>
      <c r="W22" s="22">
        <v>418106.84</v>
      </c>
      <c r="X22" s="68">
        <v>410113.23</v>
      </c>
      <c r="Y22" s="22">
        <v>415590.42</v>
      </c>
      <c r="Z22" s="4">
        <f t="shared" si="7"/>
        <v>4361208.54</v>
      </c>
      <c r="AA22" s="5">
        <f t="shared" si="8"/>
        <v>73.250232622620317</v>
      </c>
      <c r="AB22" s="4">
        <f t="shared" si="9"/>
        <v>105388.54000000004</v>
      </c>
      <c r="AC22" s="4">
        <f t="shared" si="10"/>
        <v>102.47633922487323</v>
      </c>
    </row>
    <row r="23" spans="1:29" s="16" customFormat="1" ht="66" x14ac:dyDescent="0.25">
      <c r="A23" s="19" t="s">
        <v>28</v>
      </c>
      <c r="B23" s="2" t="s">
        <v>5</v>
      </c>
      <c r="C23" s="2" t="s">
        <v>29</v>
      </c>
      <c r="D23" s="4">
        <f t="shared" ref="D23:T23" si="21">+D24</f>
        <v>24250</v>
      </c>
      <c r="E23" s="4">
        <f t="shared" si="21"/>
        <v>24250</v>
      </c>
      <c r="F23" s="4">
        <f t="shared" si="21"/>
        <v>24250</v>
      </c>
      <c r="G23" s="4">
        <f t="shared" si="21"/>
        <v>24250</v>
      </c>
      <c r="H23" s="4">
        <f t="shared" si="21"/>
        <v>24250</v>
      </c>
      <c r="I23" s="4">
        <f t="shared" si="21"/>
        <v>1922.33</v>
      </c>
      <c r="J23" s="4">
        <f t="shared" si="21"/>
        <v>232.82</v>
      </c>
      <c r="K23" s="4">
        <f t="shared" si="21"/>
        <v>4386.21</v>
      </c>
      <c r="L23" s="4">
        <f t="shared" si="21"/>
        <v>6541.3600000000006</v>
      </c>
      <c r="M23" s="4">
        <f t="shared" si="21"/>
        <v>2994.02</v>
      </c>
      <c r="N23" s="4">
        <f t="shared" si="21"/>
        <v>2810.02</v>
      </c>
      <c r="O23" s="4">
        <f t="shared" si="21"/>
        <v>2507.91</v>
      </c>
      <c r="P23" s="4">
        <f t="shared" si="21"/>
        <v>8311.9500000000007</v>
      </c>
      <c r="Q23" s="4">
        <f t="shared" si="21"/>
        <v>14853.310000000001</v>
      </c>
      <c r="R23" s="4">
        <f t="shared" si="21"/>
        <v>2533.87</v>
      </c>
      <c r="S23" s="4">
        <f t="shared" si="21"/>
        <v>2724.37</v>
      </c>
      <c r="T23" s="4">
        <f t="shared" si="21"/>
        <v>2170.58</v>
      </c>
      <c r="U23" s="4">
        <f t="shared" si="4"/>
        <v>7428.82</v>
      </c>
      <c r="V23" s="4">
        <f t="shared" si="5"/>
        <v>22282.13</v>
      </c>
      <c r="W23" s="4">
        <f t="shared" ref="W23:Y23" si="22">+W24</f>
        <v>2996.23</v>
      </c>
      <c r="X23" s="67">
        <f t="shared" si="22"/>
        <v>2708.69</v>
      </c>
      <c r="Y23" s="4">
        <f t="shared" si="22"/>
        <v>2684.19</v>
      </c>
      <c r="Z23" s="4">
        <f t="shared" si="7"/>
        <v>30671.239999999998</v>
      </c>
      <c r="AA23" s="5">
        <f t="shared" si="8"/>
        <v>91.885072164948454</v>
      </c>
      <c r="AB23" s="4">
        <f t="shared" si="9"/>
        <v>6421.239999999998</v>
      </c>
      <c r="AC23" s="4">
        <f t="shared" si="10"/>
        <v>126.47934020618557</v>
      </c>
    </row>
    <row r="24" spans="1:29" s="16" customFormat="1" ht="105.6" x14ac:dyDescent="0.25">
      <c r="A24" s="19" t="s">
        <v>30</v>
      </c>
      <c r="B24" s="2" t="s">
        <v>31</v>
      </c>
      <c r="C24" s="21" t="s">
        <v>32</v>
      </c>
      <c r="D24" s="22">
        <f>21859+2391</f>
        <v>24250</v>
      </c>
      <c r="E24" s="22">
        <f>21859+2391</f>
        <v>24250</v>
      </c>
      <c r="F24" s="22">
        <f>21859+2391</f>
        <v>24250</v>
      </c>
      <c r="G24" s="22">
        <f>21859+2391</f>
        <v>24250</v>
      </c>
      <c r="H24" s="22">
        <f>21859+2391</f>
        <v>24250</v>
      </c>
      <c r="I24" s="22">
        <v>1922.33</v>
      </c>
      <c r="J24" s="22">
        <v>232.82</v>
      </c>
      <c r="K24" s="22">
        <v>4386.21</v>
      </c>
      <c r="L24" s="22">
        <f>I24+J24+K24</f>
        <v>6541.3600000000006</v>
      </c>
      <c r="M24" s="22">
        <v>2994.02</v>
      </c>
      <c r="N24" s="22">
        <v>2810.02</v>
      </c>
      <c r="O24" s="22">
        <v>2507.91</v>
      </c>
      <c r="P24" s="22">
        <f>M24+N24+O24</f>
        <v>8311.9500000000007</v>
      </c>
      <c r="Q24" s="4">
        <f t="shared" si="2"/>
        <v>14853.310000000001</v>
      </c>
      <c r="R24" s="22">
        <v>2533.87</v>
      </c>
      <c r="S24" s="22">
        <v>2724.37</v>
      </c>
      <c r="T24" s="22">
        <v>2170.58</v>
      </c>
      <c r="U24" s="4">
        <f t="shared" si="4"/>
        <v>7428.82</v>
      </c>
      <c r="V24" s="4">
        <f t="shared" si="5"/>
        <v>22282.13</v>
      </c>
      <c r="W24" s="22">
        <v>2996.23</v>
      </c>
      <c r="X24" s="68">
        <v>2708.69</v>
      </c>
      <c r="Y24" s="22">
        <v>2684.19</v>
      </c>
      <c r="Z24" s="4">
        <f t="shared" si="7"/>
        <v>30671.239999999998</v>
      </c>
      <c r="AA24" s="5">
        <f t="shared" si="8"/>
        <v>91.885072164948454</v>
      </c>
      <c r="AB24" s="4">
        <f t="shared" si="9"/>
        <v>6421.239999999998</v>
      </c>
      <c r="AC24" s="4">
        <f t="shared" si="10"/>
        <v>126.47934020618557</v>
      </c>
    </row>
    <row r="25" spans="1:29" s="16" customFormat="1" ht="52.8" x14ac:dyDescent="0.25">
      <c r="A25" s="19" t="s">
        <v>33</v>
      </c>
      <c r="B25" s="2" t="s">
        <v>5</v>
      </c>
      <c r="C25" s="2" t="s">
        <v>34</v>
      </c>
      <c r="D25" s="4">
        <f t="shared" ref="D25:T25" si="23">+D26</f>
        <v>5598280</v>
      </c>
      <c r="E25" s="4">
        <f t="shared" si="23"/>
        <v>5598280</v>
      </c>
      <c r="F25" s="4">
        <f t="shared" si="23"/>
        <v>5598280</v>
      </c>
      <c r="G25" s="4">
        <f t="shared" si="23"/>
        <v>5598280</v>
      </c>
      <c r="H25" s="4">
        <f t="shared" si="23"/>
        <v>5598280</v>
      </c>
      <c r="I25" s="4">
        <f t="shared" si="23"/>
        <v>437563.76</v>
      </c>
      <c r="J25" s="4">
        <f t="shared" si="23"/>
        <v>7692.74</v>
      </c>
      <c r="K25" s="4">
        <f t="shared" si="23"/>
        <v>860318.98</v>
      </c>
      <c r="L25" s="4">
        <f t="shared" si="23"/>
        <v>1305575.48</v>
      </c>
      <c r="M25" s="4">
        <f t="shared" si="23"/>
        <v>486243.61</v>
      </c>
      <c r="N25" s="4">
        <f t="shared" si="23"/>
        <v>459674.98</v>
      </c>
      <c r="O25" s="4">
        <f t="shared" si="23"/>
        <v>490263.82</v>
      </c>
      <c r="P25" s="4">
        <f t="shared" si="23"/>
        <v>1436182.41</v>
      </c>
      <c r="Q25" s="4">
        <f t="shared" si="2"/>
        <v>2741757.8899999997</v>
      </c>
      <c r="R25" s="4">
        <f t="shared" si="23"/>
        <v>507997.88</v>
      </c>
      <c r="S25" s="4">
        <f t="shared" si="23"/>
        <v>496469.29</v>
      </c>
      <c r="T25" s="4">
        <f t="shared" si="23"/>
        <v>537423.57999999996</v>
      </c>
      <c r="U25" s="4">
        <f t="shared" si="4"/>
        <v>1541890.75</v>
      </c>
      <c r="V25" s="4">
        <f t="shared" si="5"/>
        <v>4283648.6399999997</v>
      </c>
      <c r="W25" s="4">
        <f t="shared" ref="W25:Y25" si="24">+W26</f>
        <v>511366.97</v>
      </c>
      <c r="X25" s="67">
        <f t="shared" si="24"/>
        <v>508069.8</v>
      </c>
      <c r="Y25" s="4">
        <f t="shared" si="24"/>
        <v>495538.78</v>
      </c>
      <c r="Z25" s="4">
        <f t="shared" si="7"/>
        <v>5798624.1899999995</v>
      </c>
      <c r="AA25" s="5">
        <f t="shared" si="8"/>
        <v>76.51722743414048</v>
      </c>
      <c r="AB25" s="4">
        <f t="shared" si="9"/>
        <v>200344.18999999948</v>
      </c>
      <c r="AC25" s="4">
        <f t="shared" si="10"/>
        <v>103.57867398558128</v>
      </c>
    </row>
    <row r="26" spans="1:29" s="16" customFormat="1" ht="92.4" x14ac:dyDescent="0.25">
      <c r="A26" s="19" t="s">
        <v>35</v>
      </c>
      <c r="B26" s="2" t="s">
        <v>31</v>
      </c>
      <c r="C26" s="21" t="s">
        <v>36</v>
      </c>
      <c r="D26" s="22">
        <f>5673869-75589</f>
        <v>5598280</v>
      </c>
      <c r="E26" s="22">
        <f>5673869-75589</f>
        <v>5598280</v>
      </c>
      <c r="F26" s="22">
        <f>5673869-75589</f>
        <v>5598280</v>
      </c>
      <c r="G26" s="22">
        <f>5673869-75589</f>
        <v>5598280</v>
      </c>
      <c r="H26" s="22">
        <f>5673869-75589</f>
        <v>5598280</v>
      </c>
      <c r="I26" s="22">
        <v>437563.76</v>
      </c>
      <c r="J26" s="22">
        <v>7692.74</v>
      </c>
      <c r="K26" s="22">
        <v>860318.98</v>
      </c>
      <c r="L26" s="22">
        <f>I26+J26+K26</f>
        <v>1305575.48</v>
      </c>
      <c r="M26" s="22">
        <v>486243.61</v>
      </c>
      <c r="N26" s="22">
        <v>459674.98</v>
      </c>
      <c r="O26" s="22">
        <v>490263.82</v>
      </c>
      <c r="P26" s="22">
        <f>M26+N26+O26</f>
        <v>1436182.41</v>
      </c>
      <c r="Q26" s="4">
        <f t="shared" si="2"/>
        <v>2741757.8899999997</v>
      </c>
      <c r="R26" s="22">
        <v>507997.88</v>
      </c>
      <c r="S26" s="22">
        <v>496469.29</v>
      </c>
      <c r="T26" s="22">
        <v>537423.57999999996</v>
      </c>
      <c r="U26" s="4">
        <f t="shared" si="4"/>
        <v>1541890.75</v>
      </c>
      <c r="V26" s="4">
        <f t="shared" si="5"/>
        <v>4283648.6399999997</v>
      </c>
      <c r="W26" s="22">
        <v>511366.97</v>
      </c>
      <c r="X26" s="68">
        <v>508069.8</v>
      </c>
      <c r="Y26" s="22">
        <v>495538.78</v>
      </c>
      <c r="Z26" s="4">
        <f t="shared" si="7"/>
        <v>5798624.1899999995</v>
      </c>
      <c r="AA26" s="5">
        <f t="shared" si="8"/>
        <v>76.51722743414048</v>
      </c>
      <c r="AB26" s="4">
        <f t="shared" si="9"/>
        <v>200344.18999999948</v>
      </c>
      <c r="AC26" s="4">
        <f t="shared" si="10"/>
        <v>103.57867398558128</v>
      </c>
    </row>
    <row r="27" spans="1:29" s="16" customFormat="1" ht="52.8" x14ac:dyDescent="0.25">
      <c r="A27" s="19" t="s">
        <v>37</v>
      </c>
      <c r="B27" s="2" t="s">
        <v>5</v>
      </c>
      <c r="C27" s="2" t="s">
        <v>38</v>
      </c>
      <c r="D27" s="4">
        <f t="shared" ref="D27:T27" si="25">+D28</f>
        <v>-609730</v>
      </c>
      <c r="E27" s="4">
        <f t="shared" si="25"/>
        <v>-609730</v>
      </c>
      <c r="F27" s="4">
        <f t="shared" si="25"/>
        <v>-609730</v>
      </c>
      <c r="G27" s="4">
        <f t="shared" si="25"/>
        <v>-609730</v>
      </c>
      <c r="H27" s="4">
        <f t="shared" si="25"/>
        <v>-609730</v>
      </c>
      <c r="I27" s="4">
        <f t="shared" si="25"/>
        <v>-55575.32</v>
      </c>
      <c r="J27" s="4">
        <f t="shared" si="25"/>
        <v>-12533.28</v>
      </c>
      <c r="K27" s="4">
        <f t="shared" si="25"/>
        <v>-98459.03</v>
      </c>
      <c r="L27" s="4">
        <f t="shared" si="25"/>
        <v>-166567.63</v>
      </c>
      <c r="M27" s="4">
        <f t="shared" si="25"/>
        <v>-67913.59</v>
      </c>
      <c r="N27" s="4">
        <f t="shared" si="25"/>
        <v>-50927.71</v>
      </c>
      <c r="O27" s="4">
        <f t="shared" si="25"/>
        <v>-82634.710000000006</v>
      </c>
      <c r="P27" s="4">
        <f t="shared" si="25"/>
        <v>-201476.01</v>
      </c>
      <c r="Q27" s="4">
        <f t="shared" si="2"/>
        <v>-368043.64</v>
      </c>
      <c r="R27" s="4">
        <f t="shared" si="25"/>
        <v>-55764.34</v>
      </c>
      <c r="S27" s="4">
        <f t="shared" si="25"/>
        <v>-69325.14</v>
      </c>
      <c r="T27" s="4">
        <f t="shared" si="25"/>
        <v>-57197.59</v>
      </c>
      <c r="U27" s="4">
        <f t="shared" si="4"/>
        <v>-182287.07</v>
      </c>
      <c r="V27" s="4">
        <f t="shared" si="5"/>
        <v>-550330.71</v>
      </c>
      <c r="W27" s="4">
        <f t="shared" ref="W27:Y27" si="26">+W28</f>
        <v>-72726.23</v>
      </c>
      <c r="X27" s="67">
        <f t="shared" si="26"/>
        <v>-45467.88</v>
      </c>
      <c r="Y27" s="4">
        <f t="shared" si="26"/>
        <v>-75173.2</v>
      </c>
      <c r="Z27" s="4">
        <f t="shared" si="7"/>
        <v>-743698.0199999999</v>
      </c>
      <c r="AA27" s="5">
        <f t="shared" si="8"/>
        <v>90.258099486658026</v>
      </c>
      <c r="AB27" s="4">
        <f t="shared" si="9"/>
        <v>-133968.0199999999</v>
      </c>
      <c r="AC27" s="4">
        <f t="shared" si="10"/>
        <v>121.9716956685746</v>
      </c>
    </row>
    <row r="28" spans="1:29" s="16" customFormat="1" ht="92.4" x14ac:dyDescent="0.25">
      <c r="A28" s="19" t="s">
        <v>39</v>
      </c>
      <c r="B28" s="2" t="s">
        <v>31</v>
      </c>
      <c r="C28" s="21" t="s">
        <v>40</v>
      </c>
      <c r="D28" s="22">
        <f>-602396-7334</f>
        <v>-609730</v>
      </c>
      <c r="E28" s="22">
        <f>-602396-7334</f>
        <v>-609730</v>
      </c>
      <c r="F28" s="22">
        <f>-602396-7334</f>
        <v>-609730</v>
      </c>
      <c r="G28" s="22">
        <f>-602396-7334</f>
        <v>-609730</v>
      </c>
      <c r="H28" s="22">
        <f>-602396-7334</f>
        <v>-609730</v>
      </c>
      <c r="I28" s="22">
        <v>-55575.32</v>
      </c>
      <c r="J28" s="22">
        <v>-12533.28</v>
      </c>
      <c r="K28" s="22">
        <v>-98459.03</v>
      </c>
      <c r="L28" s="22">
        <f>I28+J28+K28</f>
        <v>-166567.63</v>
      </c>
      <c r="M28" s="22">
        <v>-67913.59</v>
      </c>
      <c r="N28" s="22">
        <v>-50927.71</v>
      </c>
      <c r="O28" s="22">
        <v>-82634.710000000006</v>
      </c>
      <c r="P28" s="22">
        <f>M28+N28+O28</f>
        <v>-201476.01</v>
      </c>
      <c r="Q28" s="4">
        <f t="shared" si="2"/>
        <v>-368043.64</v>
      </c>
      <c r="R28" s="22">
        <v>-55764.34</v>
      </c>
      <c r="S28" s="22">
        <v>-69325.14</v>
      </c>
      <c r="T28" s="22">
        <v>-57197.59</v>
      </c>
      <c r="U28" s="4">
        <f t="shared" si="4"/>
        <v>-182287.07</v>
      </c>
      <c r="V28" s="4">
        <f t="shared" si="5"/>
        <v>-550330.71</v>
      </c>
      <c r="W28" s="22">
        <v>-72726.23</v>
      </c>
      <c r="X28" s="68">
        <v>-45467.88</v>
      </c>
      <c r="Y28" s="22">
        <v>-75173.2</v>
      </c>
      <c r="Z28" s="4">
        <f t="shared" si="7"/>
        <v>-743698.0199999999</v>
      </c>
      <c r="AA28" s="5">
        <f t="shared" si="8"/>
        <v>90.258099486658026</v>
      </c>
      <c r="AB28" s="4">
        <f t="shared" si="9"/>
        <v>-133968.0199999999</v>
      </c>
      <c r="AC28" s="4">
        <f t="shared" si="10"/>
        <v>121.9716956685746</v>
      </c>
    </row>
    <row r="29" spans="1:29" s="16" customFormat="1" ht="13.2" x14ac:dyDescent="0.25">
      <c r="A29" s="1" t="s">
        <v>41</v>
      </c>
      <c r="B29" s="2" t="s">
        <v>5</v>
      </c>
      <c r="C29" s="3" t="s">
        <v>42</v>
      </c>
      <c r="D29" s="4">
        <f t="shared" ref="D29:G29" si="27">+D39+D42+D44+D30</f>
        <v>109405240</v>
      </c>
      <c r="E29" s="4">
        <f t="shared" si="27"/>
        <v>129285240</v>
      </c>
      <c r="F29" s="4">
        <f t="shared" si="27"/>
        <v>129285240</v>
      </c>
      <c r="G29" s="4">
        <f t="shared" si="27"/>
        <v>129285240</v>
      </c>
      <c r="H29" s="4">
        <f>+H39+H42+H44+H30+H37</f>
        <v>164618573.98000002</v>
      </c>
      <c r="I29" s="4">
        <f t="shared" ref="I29:Z29" si="28">+I39+I42+I44+I30+I37</f>
        <v>14861964.609999999</v>
      </c>
      <c r="J29" s="4">
        <f t="shared" si="28"/>
        <v>8379042.5199999996</v>
      </c>
      <c r="K29" s="4">
        <f t="shared" si="28"/>
        <v>18821775.329999998</v>
      </c>
      <c r="L29" s="4">
        <f t="shared" si="28"/>
        <v>42062782.459999993</v>
      </c>
      <c r="M29" s="4">
        <f t="shared" si="28"/>
        <v>27967188.720000003</v>
      </c>
      <c r="N29" s="4">
        <f t="shared" si="28"/>
        <v>10746375.689999998</v>
      </c>
      <c r="O29" s="4">
        <f t="shared" si="28"/>
        <v>8439695.9100000001</v>
      </c>
      <c r="P29" s="4">
        <f t="shared" si="28"/>
        <v>47153260.32</v>
      </c>
      <c r="Q29" s="4">
        <f t="shared" si="28"/>
        <v>89216042.780000001</v>
      </c>
      <c r="R29" s="4">
        <f t="shared" si="28"/>
        <v>22541272.359999999</v>
      </c>
      <c r="S29" s="4">
        <f t="shared" si="28"/>
        <v>5643700.5000000009</v>
      </c>
      <c r="T29" s="4">
        <f t="shared" si="28"/>
        <v>5661064.8899999997</v>
      </c>
      <c r="U29" s="4">
        <f t="shared" si="28"/>
        <v>33846037.75</v>
      </c>
      <c r="V29" s="4">
        <f t="shared" si="28"/>
        <v>123062080.53</v>
      </c>
      <c r="W29" s="4">
        <f t="shared" si="28"/>
        <v>25642359.32</v>
      </c>
      <c r="X29" s="4">
        <f t="shared" si="28"/>
        <v>5829065.8000000007</v>
      </c>
      <c r="Y29" s="4">
        <f t="shared" si="28"/>
        <v>14719118.690000001</v>
      </c>
      <c r="Z29" s="4">
        <f t="shared" si="28"/>
        <v>169252624.34</v>
      </c>
      <c r="AA29" s="5">
        <f t="shared" si="8"/>
        <v>74.75589027089444</v>
      </c>
      <c r="AB29" s="4">
        <f t="shared" si="9"/>
        <v>4634050.3599999845</v>
      </c>
      <c r="AC29" s="4">
        <f t="shared" si="10"/>
        <v>102.81502278142864</v>
      </c>
    </row>
    <row r="30" spans="1:29" s="16" customFormat="1" ht="26.4" x14ac:dyDescent="0.25">
      <c r="A30" s="19" t="s">
        <v>43</v>
      </c>
      <c r="B30" s="2" t="s">
        <v>5</v>
      </c>
      <c r="C30" s="23" t="s">
        <v>44</v>
      </c>
      <c r="D30" s="4">
        <f t="shared" ref="D30:J30" si="29">+D31+D34+D38</f>
        <v>92910240</v>
      </c>
      <c r="E30" s="4">
        <f t="shared" si="29"/>
        <v>92910240</v>
      </c>
      <c r="F30" s="4">
        <f t="shared" si="29"/>
        <v>92910240</v>
      </c>
      <c r="G30" s="4">
        <f t="shared" si="29"/>
        <v>92910240</v>
      </c>
      <c r="H30" s="4">
        <f t="shared" si="29"/>
        <v>125619256.24000001</v>
      </c>
      <c r="I30" s="4">
        <f t="shared" si="29"/>
        <v>3607675.1700000004</v>
      </c>
      <c r="J30" s="4">
        <f t="shared" si="29"/>
        <v>6235453.2399999993</v>
      </c>
      <c r="K30" s="4">
        <f>+K31+K34+K38</f>
        <v>11276181.25</v>
      </c>
      <c r="L30" s="4">
        <f>+L31+L34+L38</f>
        <v>21119309.66</v>
      </c>
      <c r="M30" s="4">
        <f t="shared" ref="M30:N30" si="30">+M31+M34+M38</f>
        <v>25491874.350000001</v>
      </c>
      <c r="N30" s="4">
        <f t="shared" si="30"/>
        <v>8905569.8999999985</v>
      </c>
      <c r="O30" s="4">
        <f>+O31+O34+O38</f>
        <v>4442408.47</v>
      </c>
      <c r="P30" s="4">
        <f>+P31+P34+P38</f>
        <v>38839852.719999999</v>
      </c>
      <c r="Q30" s="4">
        <f t="shared" si="2"/>
        <v>59959162.379999995</v>
      </c>
      <c r="R30" s="4">
        <f>+R31+R34+R38</f>
        <v>21072115.189999998</v>
      </c>
      <c r="S30" s="4">
        <f>+S31+S34+S38</f>
        <v>4761842.4300000006</v>
      </c>
      <c r="T30" s="4">
        <f>+T31+T34+T38</f>
        <v>4163998.9899999998</v>
      </c>
      <c r="U30" s="4">
        <f t="shared" si="4"/>
        <v>29997956.609999996</v>
      </c>
      <c r="V30" s="4">
        <f t="shared" si="5"/>
        <v>89957118.989999995</v>
      </c>
      <c r="W30" s="4">
        <f>+W31+W34+W38</f>
        <v>24329498.379999999</v>
      </c>
      <c r="X30" s="67">
        <f>+X31+X34+X38</f>
        <v>4774722.82</v>
      </c>
      <c r="Y30" s="4">
        <f>+Y31+Y34+Y38</f>
        <v>5306244.21</v>
      </c>
      <c r="Z30" s="4">
        <f t="shared" si="7"/>
        <v>124367584.39999999</v>
      </c>
      <c r="AA30" s="5">
        <f t="shared" si="8"/>
        <v>71.610931064687847</v>
      </c>
      <c r="AB30" s="4">
        <f t="shared" si="9"/>
        <v>-1251671.8400000185</v>
      </c>
      <c r="AC30" s="4">
        <f t="shared" si="10"/>
        <v>99.003598749535143</v>
      </c>
    </row>
    <row r="31" spans="1:29" s="16" customFormat="1" ht="26.4" x14ac:dyDescent="0.25">
      <c r="A31" s="19" t="s">
        <v>45</v>
      </c>
      <c r="B31" s="2" t="s">
        <v>5</v>
      </c>
      <c r="C31" s="23" t="s">
        <v>46</v>
      </c>
      <c r="D31" s="4">
        <f t="shared" ref="D31:I31" si="31">+D32+D33</f>
        <v>67602600</v>
      </c>
      <c r="E31" s="4">
        <f t="shared" si="31"/>
        <v>67602600</v>
      </c>
      <c r="F31" s="4">
        <f t="shared" si="31"/>
        <v>67602600</v>
      </c>
      <c r="G31" s="4">
        <f t="shared" si="31"/>
        <v>67602600</v>
      </c>
      <c r="H31" s="4">
        <f>+H32+H33</f>
        <v>79036600</v>
      </c>
      <c r="I31" s="4">
        <f t="shared" si="31"/>
        <v>3350662.95</v>
      </c>
      <c r="J31" s="4">
        <f>+J32+J33</f>
        <v>5424436.7399999993</v>
      </c>
      <c r="K31" s="4">
        <f t="shared" ref="K31:M31" si="32">+K32+K33</f>
        <v>6196964.4000000004</v>
      </c>
      <c r="L31" s="4">
        <f t="shared" si="32"/>
        <v>14972064.090000002</v>
      </c>
      <c r="M31" s="4">
        <f t="shared" si="32"/>
        <v>14331402.789999999</v>
      </c>
      <c r="N31" s="4">
        <f>+N32+N33</f>
        <v>6784790.5299999993</v>
      </c>
      <c r="O31" s="4">
        <f t="shared" ref="O31:P31" si="33">+O32+O33</f>
        <v>2576020.15</v>
      </c>
      <c r="P31" s="4">
        <f t="shared" si="33"/>
        <v>23692213.469999999</v>
      </c>
      <c r="Q31" s="4">
        <f t="shared" si="2"/>
        <v>38664277.560000002</v>
      </c>
      <c r="R31" s="4">
        <f t="shared" ref="R31:T31" si="34">+R32+R33</f>
        <v>11941608.029999999</v>
      </c>
      <c r="S31" s="4">
        <f t="shared" si="34"/>
        <v>3033724.1100000003</v>
      </c>
      <c r="T31" s="4">
        <f t="shared" si="34"/>
        <v>3464694.29</v>
      </c>
      <c r="U31" s="4">
        <f t="shared" si="4"/>
        <v>18440026.43</v>
      </c>
      <c r="V31" s="4">
        <f t="shared" si="5"/>
        <v>57104303.990000002</v>
      </c>
      <c r="W31" s="4">
        <f t="shared" ref="W31:Y31" si="35">+W32+W33</f>
        <v>15321582.59</v>
      </c>
      <c r="X31" s="67">
        <f t="shared" si="35"/>
        <v>2682307.6999999997</v>
      </c>
      <c r="Y31" s="4">
        <f t="shared" si="35"/>
        <v>4026483.3200000003</v>
      </c>
      <c r="Z31" s="4">
        <f t="shared" si="7"/>
        <v>79134677.599999994</v>
      </c>
      <c r="AA31" s="5">
        <f t="shared" si="8"/>
        <v>72.250456105146228</v>
      </c>
      <c r="AB31" s="4">
        <f t="shared" si="9"/>
        <v>98077.59999999404</v>
      </c>
      <c r="AC31" s="4">
        <f t="shared" si="10"/>
        <v>100.12409137032716</v>
      </c>
    </row>
    <row r="32" spans="1:29" s="16" customFormat="1" ht="26.4" x14ac:dyDescent="0.25">
      <c r="A32" s="19" t="s">
        <v>45</v>
      </c>
      <c r="B32" s="2" t="s">
        <v>12</v>
      </c>
      <c r="C32" s="23" t="s">
        <v>47</v>
      </c>
      <c r="D32" s="4">
        <v>67602600</v>
      </c>
      <c r="E32" s="4">
        <v>67602600</v>
      </c>
      <c r="F32" s="4">
        <v>67602600</v>
      </c>
      <c r="G32" s="4">
        <v>67602600</v>
      </c>
      <c r="H32" s="4">
        <v>79000000</v>
      </c>
      <c r="I32" s="4">
        <v>3350662.95</v>
      </c>
      <c r="J32" s="4">
        <v>5424740.3899999997</v>
      </c>
      <c r="K32" s="4">
        <v>6196962.1900000004</v>
      </c>
      <c r="L32" s="4">
        <f>I32+J32+K32</f>
        <v>14972365.530000001</v>
      </c>
      <c r="M32" s="4">
        <v>14301322.029999999</v>
      </c>
      <c r="N32" s="4">
        <v>6777925.6399999997</v>
      </c>
      <c r="O32" s="4">
        <v>2576020.14</v>
      </c>
      <c r="P32" s="4">
        <f>M32+N32+O32</f>
        <v>23655267.809999999</v>
      </c>
      <c r="Q32" s="4">
        <f t="shared" si="2"/>
        <v>38627633.340000004</v>
      </c>
      <c r="R32" s="4">
        <v>11941608.029999999</v>
      </c>
      <c r="S32" s="4">
        <v>3033695.64</v>
      </c>
      <c r="T32" s="4">
        <v>3464694.29</v>
      </c>
      <c r="U32" s="4">
        <f t="shared" si="4"/>
        <v>18439997.960000001</v>
      </c>
      <c r="V32" s="4">
        <f t="shared" si="5"/>
        <v>57067631.300000004</v>
      </c>
      <c r="W32" s="4">
        <v>15321690.970000001</v>
      </c>
      <c r="X32" s="67">
        <v>2682298.38</v>
      </c>
      <c r="Y32" s="4">
        <v>4026483.33</v>
      </c>
      <c r="Z32" s="4">
        <f t="shared" si="7"/>
        <v>79098103.980000004</v>
      </c>
      <c r="AA32" s="5">
        <f t="shared" si="8"/>
        <v>72.237507974683552</v>
      </c>
      <c r="AB32" s="4">
        <f t="shared" si="9"/>
        <v>98103.980000004172</v>
      </c>
      <c r="AC32" s="4">
        <f t="shared" si="10"/>
        <v>100.12418225316458</v>
      </c>
    </row>
    <row r="33" spans="1:29" s="16" customFormat="1" ht="39.6" x14ac:dyDescent="0.25">
      <c r="A33" s="19" t="s">
        <v>432</v>
      </c>
      <c r="B33" s="2" t="s">
        <v>12</v>
      </c>
      <c r="C33" s="23" t="s">
        <v>564</v>
      </c>
      <c r="D33" s="4">
        <v>0</v>
      </c>
      <c r="E33" s="4">
        <v>0</v>
      </c>
      <c r="F33" s="4">
        <v>0</v>
      </c>
      <c r="G33" s="4">
        <v>0</v>
      </c>
      <c r="H33" s="4">
        <v>36600</v>
      </c>
      <c r="I33" s="4">
        <v>0</v>
      </c>
      <c r="J33" s="4">
        <v>-303.64999999999998</v>
      </c>
      <c r="K33" s="4">
        <v>2.21</v>
      </c>
      <c r="L33" s="4">
        <f>I33+J33+K33</f>
        <v>-301.44</v>
      </c>
      <c r="M33" s="4">
        <v>30080.76</v>
      </c>
      <c r="N33" s="4">
        <v>6864.89</v>
      </c>
      <c r="O33" s="4">
        <v>0.01</v>
      </c>
      <c r="P33" s="4">
        <f>M33+N33+O33</f>
        <v>36945.660000000003</v>
      </c>
      <c r="Q33" s="4">
        <f t="shared" si="2"/>
        <v>36644.22</v>
      </c>
      <c r="R33" s="4">
        <v>0</v>
      </c>
      <c r="S33" s="4">
        <v>28.47</v>
      </c>
      <c r="T33" s="4">
        <v>0</v>
      </c>
      <c r="U33" s="4">
        <f t="shared" si="4"/>
        <v>28.47</v>
      </c>
      <c r="V33" s="4">
        <f t="shared" si="5"/>
        <v>36672.69</v>
      </c>
      <c r="W33" s="4">
        <v>-108.38</v>
      </c>
      <c r="X33" s="67">
        <v>9.32</v>
      </c>
      <c r="Y33" s="4">
        <v>-0.01</v>
      </c>
      <c r="Z33" s="4">
        <f t="shared" si="7"/>
        <v>36573.620000000003</v>
      </c>
      <c r="AA33" s="5"/>
      <c r="AB33" s="4">
        <f t="shared" si="9"/>
        <v>-26.379999999997381</v>
      </c>
      <c r="AC33" s="4">
        <f t="shared" si="10"/>
        <v>99.92792349726777</v>
      </c>
    </row>
    <row r="34" spans="1:29" s="16" customFormat="1" ht="39.6" x14ac:dyDescent="0.25">
      <c r="A34" s="19" t="s">
        <v>48</v>
      </c>
      <c r="B34" s="2" t="s">
        <v>5</v>
      </c>
      <c r="C34" s="23" t="s">
        <v>49</v>
      </c>
      <c r="D34" s="4">
        <f t="shared" ref="D34:P34" si="36">+D35+D36</f>
        <v>25307640</v>
      </c>
      <c r="E34" s="4">
        <f t="shared" si="36"/>
        <v>25307640</v>
      </c>
      <c r="F34" s="4">
        <f t="shared" si="36"/>
        <v>25307640</v>
      </c>
      <c r="G34" s="4">
        <f t="shared" si="36"/>
        <v>25307640</v>
      </c>
      <c r="H34" s="4">
        <f>+H35+H36</f>
        <v>46582932.840000004</v>
      </c>
      <c r="I34" s="4">
        <f t="shared" si="36"/>
        <v>257012.22</v>
      </c>
      <c r="J34" s="4">
        <f t="shared" si="36"/>
        <v>811016.5</v>
      </c>
      <c r="K34" s="4">
        <f t="shared" si="36"/>
        <v>5078979.37</v>
      </c>
      <c r="L34" s="4">
        <f t="shared" si="36"/>
        <v>6147008.0899999999</v>
      </c>
      <c r="M34" s="4">
        <f t="shared" si="36"/>
        <v>11160471.560000001</v>
      </c>
      <c r="N34" s="4">
        <f t="shared" si="36"/>
        <v>2120779.37</v>
      </c>
      <c r="O34" s="4">
        <f t="shared" si="36"/>
        <v>1866388.32</v>
      </c>
      <c r="P34" s="4">
        <f t="shared" si="36"/>
        <v>15147639.25</v>
      </c>
      <c r="Q34" s="4">
        <f t="shared" si="2"/>
        <v>21294647.34</v>
      </c>
      <c r="R34" s="4">
        <f t="shared" ref="R34:T34" si="37">+R35+R36</f>
        <v>9130507.1600000001</v>
      </c>
      <c r="S34" s="4">
        <f t="shared" si="37"/>
        <v>1728117.12</v>
      </c>
      <c r="T34" s="4">
        <f t="shared" si="37"/>
        <v>699456.13</v>
      </c>
      <c r="U34" s="4">
        <f t="shared" si="4"/>
        <v>11558080.410000002</v>
      </c>
      <c r="V34" s="4">
        <f t="shared" si="5"/>
        <v>32852727.75</v>
      </c>
      <c r="W34" s="4">
        <f t="shared" ref="W34:Y34" si="38">+W35+W36</f>
        <v>9008279.6400000006</v>
      </c>
      <c r="X34" s="67">
        <f t="shared" si="38"/>
        <v>2092415.12</v>
      </c>
      <c r="Y34" s="67">
        <f t="shared" si="38"/>
        <v>1279760.8799999999</v>
      </c>
      <c r="Z34" s="4">
        <f t="shared" si="7"/>
        <v>45233183.390000001</v>
      </c>
      <c r="AA34" s="5">
        <f t="shared" si="8"/>
        <v>70.525245507491746</v>
      </c>
      <c r="AB34" s="4">
        <f t="shared" si="9"/>
        <v>-1349749.450000003</v>
      </c>
      <c r="AC34" s="4">
        <f t="shared" si="10"/>
        <v>97.102480741957493</v>
      </c>
    </row>
    <row r="35" spans="1:29" s="16" customFormat="1" ht="52.8" x14ac:dyDescent="0.25">
      <c r="A35" s="19" t="s">
        <v>50</v>
      </c>
      <c r="B35" s="2" t="s">
        <v>12</v>
      </c>
      <c r="C35" s="23" t="s">
        <v>51</v>
      </c>
      <c r="D35" s="4">
        <v>25307640</v>
      </c>
      <c r="E35" s="4">
        <v>25307640</v>
      </c>
      <c r="F35" s="4">
        <v>25307640</v>
      </c>
      <c r="G35" s="4">
        <v>25307640</v>
      </c>
      <c r="H35" s="4">
        <v>46600000</v>
      </c>
      <c r="I35" s="4">
        <v>255836.47</v>
      </c>
      <c r="J35" s="4">
        <v>829259.4</v>
      </c>
      <c r="K35" s="4">
        <v>5078979.38</v>
      </c>
      <c r="L35" s="4">
        <f>I35+J35+K35</f>
        <v>6164075.25</v>
      </c>
      <c r="M35" s="4">
        <v>11160471.560000001</v>
      </c>
      <c r="N35" s="4">
        <v>2120779.37</v>
      </c>
      <c r="O35" s="4">
        <v>1866388.32</v>
      </c>
      <c r="P35" s="4">
        <f>M35+N35+O35</f>
        <v>15147639.25</v>
      </c>
      <c r="Q35" s="4">
        <f t="shared" si="2"/>
        <v>21311714.5</v>
      </c>
      <c r="R35" s="4">
        <v>9130507.1600000001</v>
      </c>
      <c r="S35" s="4">
        <v>1728117.12</v>
      </c>
      <c r="T35" s="4">
        <v>699456.13</v>
      </c>
      <c r="U35" s="4">
        <f t="shared" si="4"/>
        <v>11558080.410000002</v>
      </c>
      <c r="V35" s="4">
        <f t="shared" si="5"/>
        <v>32869794.910000004</v>
      </c>
      <c r="W35" s="4">
        <v>9008279.6400000006</v>
      </c>
      <c r="X35" s="67">
        <v>2092415.12</v>
      </c>
      <c r="Y35" s="4">
        <v>1279760.8799999999</v>
      </c>
      <c r="Z35" s="4">
        <f t="shared" si="7"/>
        <v>45250250.550000004</v>
      </c>
      <c r="AA35" s="5">
        <f t="shared" si="8"/>
        <v>70.536040579399156</v>
      </c>
      <c r="AB35" s="4">
        <f t="shared" si="9"/>
        <v>-1349749.4499999955</v>
      </c>
      <c r="AC35" s="4">
        <f t="shared" si="10"/>
        <v>97.103541952789712</v>
      </c>
    </row>
    <row r="36" spans="1:29" s="16" customFormat="1" ht="39.6" x14ac:dyDescent="0.25">
      <c r="A36" s="19" t="s">
        <v>467</v>
      </c>
      <c r="B36" s="2" t="s">
        <v>12</v>
      </c>
      <c r="C36" s="23" t="s">
        <v>396</v>
      </c>
      <c r="D36" s="4">
        <v>0</v>
      </c>
      <c r="E36" s="4">
        <v>0</v>
      </c>
      <c r="F36" s="4">
        <v>0</v>
      </c>
      <c r="G36" s="4">
        <v>0</v>
      </c>
      <c r="H36" s="4">
        <v>-17067.16</v>
      </c>
      <c r="I36" s="4">
        <v>1175.75</v>
      </c>
      <c r="J36" s="4">
        <v>-18242.900000000001</v>
      </c>
      <c r="K36" s="4">
        <v>-0.01</v>
      </c>
      <c r="L36" s="4">
        <f>I36+J36+K36</f>
        <v>-17067.16</v>
      </c>
      <c r="M36" s="4">
        <v>0</v>
      </c>
      <c r="N36" s="4">
        <v>0</v>
      </c>
      <c r="O36" s="4">
        <v>0</v>
      </c>
      <c r="P36" s="4">
        <f>M36+N36+O36</f>
        <v>0</v>
      </c>
      <c r="Q36" s="4">
        <f t="shared" si="2"/>
        <v>-17067.16</v>
      </c>
      <c r="R36" s="4">
        <v>0</v>
      </c>
      <c r="S36" s="4">
        <v>0</v>
      </c>
      <c r="T36" s="4">
        <v>0</v>
      </c>
      <c r="U36" s="4">
        <f t="shared" si="4"/>
        <v>0</v>
      </c>
      <c r="V36" s="4">
        <f t="shared" si="5"/>
        <v>-17067.16</v>
      </c>
      <c r="W36" s="4">
        <v>0</v>
      </c>
      <c r="X36" s="67">
        <v>0</v>
      </c>
      <c r="Y36" s="4">
        <v>0</v>
      </c>
      <c r="Z36" s="4">
        <f t="shared" si="7"/>
        <v>-17067.16</v>
      </c>
      <c r="AA36" s="5"/>
      <c r="AB36" s="4">
        <f t="shared" si="9"/>
        <v>0</v>
      </c>
      <c r="AC36" s="4">
        <f t="shared" si="10"/>
        <v>100</v>
      </c>
    </row>
    <row r="37" spans="1:29" s="84" customFormat="1" ht="44.25" hidden="1" customHeight="1" x14ac:dyDescent="0.25">
      <c r="A37" s="85" t="s">
        <v>579</v>
      </c>
      <c r="B37" s="2" t="s">
        <v>12</v>
      </c>
      <c r="C37" s="23" t="s">
        <v>578</v>
      </c>
      <c r="D37" s="64"/>
      <c r="E37" s="64"/>
      <c r="F37" s="64"/>
      <c r="G37" s="64"/>
      <c r="H37" s="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>
        <v>0</v>
      </c>
      <c r="U37" s="64"/>
      <c r="V37" s="64"/>
      <c r="W37" s="64"/>
      <c r="X37" s="82"/>
      <c r="Y37" s="64"/>
      <c r="Z37" s="4">
        <f t="shared" si="7"/>
        <v>0</v>
      </c>
      <c r="AA37" s="83"/>
      <c r="AB37" s="4">
        <f t="shared" si="9"/>
        <v>0</v>
      </c>
      <c r="AC37" s="4">
        <v>0</v>
      </c>
    </row>
    <row r="38" spans="1:29" s="16" customFormat="1" ht="32.4" customHeight="1" x14ac:dyDescent="0.25">
      <c r="A38" s="19" t="s">
        <v>468</v>
      </c>
      <c r="B38" s="2" t="s">
        <v>12</v>
      </c>
      <c r="C38" s="17" t="s">
        <v>469</v>
      </c>
      <c r="D38" s="4">
        <v>0</v>
      </c>
      <c r="E38" s="4">
        <v>0</v>
      </c>
      <c r="F38" s="4">
        <v>0</v>
      </c>
      <c r="G38" s="4">
        <v>0</v>
      </c>
      <c r="H38" s="4">
        <v>-276.60000000000002</v>
      </c>
      <c r="I38" s="4">
        <v>0</v>
      </c>
      <c r="J38" s="4">
        <v>0</v>
      </c>
      <c r="K38" s="4">
        <v>237.48</v>
      </c>
      <c r="L38" s="4">
        <f>I38+J38+K38</f>
        <v>237.48</v>
      </c>
      <c r="M38" s="4">
        <v>0</v>
      </c>
      <c r="N38" s="4">
        <v>0</v>
      </c>
      <c r="O38" s="4">
        <v>0</v>
      </c>
      <c r="P38" s="4">
        <f>M38+N38+O38</f>
        <v>0</v>
      </c>
      <c r="Q38" s="4">
        <f t="shared" si="2"/>
        <v>237.48</v>
      </c>
      <c r="R38" s="4">
        <v>0</v>
      </c>
      <c r="S38" s="4">
        <v>1.2</v>
      </c>
      <c r="T38" s="4">
        <v>-151.43</v>
      </c>
      <c r="U38" s="4">
        <f t="shared" si="4"/>
        <v>-150.23000000000002</v>
      </c>
      <c r="V38" s="4">
        <f t="shared" si="5"/>
        <v>87.249999999999972</v>
      </c>
      <c r="W38" s="4">
        <v>-363.85</v>
      </c>
      <c r="X38" s="67">
        <v>0</v>
      </c>
      <c r="Y38" s="4">
        <v>0.01</v>
      </c>
      <c r="Z38" s="4">
        <f t="shared" si="7"/>
        <v>-276.59000000000003</v>
      </c>
      <c r="AA38" s="5"/>
      <c r="AB38" s="4">
        <f t="shared" si="9"/>
        <v>9.9999999999909051E-3</v>
      </c>
      <c r="AC38" s="4">
        <f t="shared" si="10"/>
        <v>99.996384671005075</v>
      </c>
    </row>
    <row r="39" spans="1:29" s="16" customFormat="1" ht="26.4" x14ac:dyDescent="0.25">
      <c r="A39" s="19" t="s">
        <v>52</v>
      </c>
      <c r="B39" s="2" t="s">
        <v>5</v>
      </c>
      <c r="C39" s="3" t="s">
        <v>53</v>
      </c>
      <c r="D39" s="4">
        <f t="shared" ref="D39:I39" si="39">+D40+D41</f>
        <v>15440000</v>
      </c>
      <c r="E39" s="4">
        <f t="shared" si="39"/>
        <v>15440000</v>
      </c>
      <c r="F39" s="4">
        <f t="shared" si="39"/>
        <v>15440000</v>
      </c>
      <c r="G39" s="4">
        <f t="shared" si="39"/>
        <v>15440000</v>
      </c>
      <c r="H39" s="4">
        <f t="shared" si="39"/>
        <v>17000317.739999998</v>
      </c>
      <c r="I39" s="4">
        <f t="shared" si="39"/>
        <v>11053729.439999999</v>
      </c>
      <c r="J39" s="4">
        <f>+J40+J41</f>
        <v>1703516.78</v>
      </c>
      <c r="K39" s="4">
        <f t="shared" ref="K39:M39" si="40">+K40+K41</f>
        <v>1711602.76</v>
      </c>
      <c r="L39" s="4">
        <f t="shared" si="40"/>
        <v>14468848.979999999</v>
      </c>
      <c r="M39" s="4">
        <f t="shared" si="40"/>
        <v>453348.12</v>
      </c>
      <c r="N39" s="4">
        <f>+N40+N41</f>
        <v>255418.23999999999</v>
      </c>
      <c r="O39" s="4">
        <f t="shared" ref="O39:P39" si="41">+O40+O41</f>
        <v>314502.34999999998</v>
      </c>
      <c r="P39" s="4">
        <f t="shared" si="41"/>
        <v>1023268.7100000001</v>
      </c>
      <c r="Q39" s="4">
        <f t="shared" si="2"/>
        <v>15492117.689999999</v>
      </c>
      <c r="R39" s="4">
        <f t="shared" ref="R39:T39" si="42">+R40+R41</f>
        <v>151152.15000000002</v>
      </c>
      <c r="S39" s="4">
        <f t="shared" si="42"/>
        <v>67788.850000000006</v>
      </c>
      <c r="T39" s="4">
        <f t="shared" si="42"/>
        <v>-32354.210000000003</v>
      </c>
      <c r="U39" s="4">
        <f t="shared" si="4"/>
        <v>186586.79000000004</v>
      </c>
      <c r="V39" s="4">
        <f t="shared" si="5"/>
        <v>15678704.48</v>
      </c>
      <c r="W39" s="4">
        <f t="shared" ref="W39:Y39" si="43">+W40+W41</f>
        <v>318644.64</v>
      </c>
      <c r="X39" s="67">
        <f t="shared" si="43"/>
        <v>152989.28</v>
      </c>
      <c r="Y39" s="4">
        <f t="shared" si="43"/>
        <v>101580.92</v>
      </c>
      <c r="Z39" s="4">
        <f t="shared" si="7"/>
        <v>16251919.32</v>
      </c>
      <c r="AA39" s="5">
        <f t="shared" si="8"/>
        <v>92.225949654515119</v>
      </c>
      <c r="AB39" s="4">
        <f t="shared" si="9"/>
        <v>-748398.41999999806</v>
      </c>
      <c r="AC39" s="4">
        <f t="shared" si="10"/>
        <v>95.597738633795686</v>
      </c>
    </row>
    <row r="40" spans="1:29" s="16" customFormat="1" ht="26.4" x14ac:dyDescent="0.25">
      <c r="A40" s="19" t="s">
        <v>52</v>
      </c>
      <c r="B40" s="2" t="s">
        <v>12</v>
      </c>
      <c r="C40" s="3" t="s">
        <v>54</v>
      </c>
      <c r="D40" s="4">
        <v>15440000</v>
      </c>
      <c r="E40" s="4">
        <v>15440000</v>
      </c>
      <c r="F40" s="4">
        <v>15440000</v>
      </c>
      <c r="G40" s="4">
        <v>15440000</v>
      </c>
      <c r="H40" s="4">
        <v>17000000</v>
      </c>
      <c r="I40" s="4">
        <v>11053729.439999999</v>
      </c>
      <c r="J40" s="4">
        <v>1703513.6</v>
      </c>
      <c r="K40" s="4">
        <v>1711602.76</v>
      </c>
      <c r="L40" s="4">
        <f>I40+J40+K40</f>
        <v>14468845.799999999</v>
      </c>
      <c r="M40" s="4">
        <v>453348.12</v>
      </c>
      <c r="N40" s="4">
        <v>255418.23999999999</v>
      </c>
      <c r="O40" s="4">
        <v>314502.42</v>
      </c>
      <c r="P40" s="4">
        <f>M40+N40+O40</f>
        <v>1023268.78</v>
      </c>
      <c r="Q40" s="4">
        <f t="shared" si="2"/>
        <v>15492114.579999998</v>
      </c>
      <c r="R40" s="4">
        <v>151128.26</v>
      </c>
      <c r="S40" s="4">
        <v>67758.16</v>
      </c>
      <c r="T40" s="4">
        <v>-32551.31</v>
      </c>
      <c r="U40" s="4">
        <f t="shared" si="4"/>
        <v>186335.11000000002</v>
      </c>
      <c r="V40" s="4">
        <f t="shared" si="5"/>
        <v>15678449.689999998</v>
      </c>
      <c r="W40" s="4">
        <v>318734.69</v>
      </c>
      <c r="X40" s="67">
        <v>152836.28</v>
      </c>
      <c r="Y40" s="4">
        <v>101580.91</v>
      </c>
      <c r="Z40" s="4">
        <f t="shared" si="7"/>
        <v>16251601.569999997</v>
      </c>
      <c r="AA40" s="5">
        <f t="shared" si="8"/>
        <v>92.226174647058812</v>
      </c>
      <c r="AB40" s="4">
        <f t="shared" si="9"/>
        <v>-748398.43000000343</v>
      </c>
      <c r="AC40" s="4">
        <f t="shared" si="10"/>
        <v>95.597656294117627</v>
      </c>
    </row>
    <row r="41" spans="1:29" s="16" customFormat="1" ht="39.6" x14ac:dyDescent="0.25">
      <c r="A41" s="19" t="s">
        <v>470</v>
      </c>
      <c r="B41" s="2" t="s">
        <v>12</v>
      </c>
      <c r="C41" s="3" t="s">
        <v>565</v>
      </c>
      <c r="D41" s="4">
        <v>0</v>
      </c>
      <c r="E41" s="4">
        <v>0</v>
      </c>
      <c r="F41" s="4">
        <v>0</v>
      </c>
      <c r="G41" s="4">
        <v>0</v>
      </c>
      <c r="H41" s="4">
        <v>317.74</v>
      </c>
      <c r="I41" s="4">
        <v>0</v>
      </c>
      <c r="J41" s="4">
        <v>3.18</v>
      </c>
      <c r="K41" s="4">
        <v>0</v>
      </c>
      <c r="L41" s="4">
        <f>I41+J41+K41</f>
        <v>3.18</v>
      </c>
      <c r="M41" s="4">
        <v>0</v>
      </c>
      <c r="N41" s="4">
        <v>0</v>
      </c>
      <c r="O41" s="4">
        <v>-7.0000000000000007E-2</v>
      </c>
      <c r="P41" s="4">
        <f>M41+N41+O41</f>
        <v>-7.0000000000000007E-2</v>
      </c>
      <c r="Q41" s="4">
        <f t="shared" si="2"/>
        <v>3.1100000000000003</v>
      </c>
      <c r="R41" s="4">
        <v>23.89</v>
      </c>
      <c r="S41" s="4">
        <v>30.69</v>
      </c>
      <c r="T41" s="4">
        <v>197.1</v>
      </c>
      <c r="U41" s="4">
        <f t="shared" si="4"/>
        <v>251.68</v>
      </c>
      <c r="V41" s="4">
        <f t="shared" si="5"/>
        <v>254.79000000000002</v>
      </c>
      <c r="W41" s="4">
        <v>-90.05</v>
      </c>
      <c r="X41" s="67">
        <v>153</v>
      </c>
      <c r="Y41" s="4">
        <v>0.01</v>
      </c>
      <c r="Z41" s="4">
        <f t="shared" si="7"/>
        <v>317.75</v>
      </c>
      <c r="AA41" s="5"/>
      <c r="AB41" s="4">
        <f t="shared" si="9"/>
        <v>9.9999999999909051E-3</v>
      </c>
      <c r="AC41" s="4">
        <f t="shared" si="10"/>
        <v>100.00314722729276</v>
      </c>
    </row>
    <row r="42" spans="1:29" s="16" customFormat="1" ht="13.2" x14ac:dyDescent="0.25">
      <c r="A42" s="19" t="s">
        <v>55</v>
      </c>
      <c r="B42" s="2" t="s">
        <v>5</v>
      </c>
      <c r="C42" s="24" t="s">
        <v>56</v>
      </c>
      <c r="D42" s="4">
        <f t="shared" ref="D42:T42" si="44">+D43</f>
        <v>200000</v>
      </c>
      <c r="E42" s="4">
        <f t="shared" si="44"/>
        <v>200000</v>
      </c>
      <c r="F42" s="4">
        <f t="shared" si="44"/>
        <v>200000</v>
      </c>
      <c r="G42" s="4">
        <f t="shared" si="44"/>
        <v>200000</v>
      </c>
      <c r="H42" s="4">
        <f t="shared" si="44"/>
        <v>-1000</v>
      </c>
      <c r="I42" s="4">
        <f t="shared" si="44"/>
        <v>0</v>
      </c>
      <c r="J42" s="4">
        <f t="shared" si="44"/>
        <v>0</v>
      </c>
      <c r="K42" s="4">
        <f t="shared" si="44"/>
        <v>15052</v>
      </c>
      <c r="L42" s="4">
        <f t="shared" si="44"/>
        <v>15052</v>
      </c>
      <c r="M42" s="4">
        <f t="shared" si="44"/>
        <v>0</v>
      </c>
      <c r="N42" s="4">
        <f t="shared" si="44"/>
        <v>0</v>
      </c>
      <c r="O42" s="4">
        <f t="shared" si="44"/>
        <v>-16550</v>
      </c>
      <c r="P42" s="4">
        <f t="shared" si="44"/>
        <v>-16550</v>
      </c>
      <c r="Q42" s="4">
        <f t="shared" si="2"/>
        <v>-1498</v>
      </c>
      <c r="R42" s="4">
        <f t="shared" si="44"/>
        <v>0</v>
      </c>
      <c r="S42" s="4">
        <f t="shared" si="44"/>
        <v>0</v>
      </c>
      <c r="T42" s="4">
        <f t="shared" si="44"/>
        <v>0</v>
      </c>
      <c r="U42" s="4">
        <f t="shared" si="4"/>
        <v>0</v>
      </c>
      <c r="V42" s="4">
        <f t="shared" si="5"/>
        <v>-1498</v>
      </c>
      <c r="W42" s="4">
        <f t="shared" ref="W42:Y42" si="45">+W43</f>
        <v>0</v>
      </c>
      <c r="X42" s="67">
        <f t="shared" si="45"/>
        <v>0</v>
      </c>
      <c r="Y42" s="4">
        <f t="shared" si="45"/>
        <v>-106453.07</v>
      </c>
      <c r="Z42" s="4">
        <f t="shared" si="7"/>
        <v>-107951.07</v>
      </c>
      <c r="AA42" s="5">
        <f t="shared" si="8"/>
        <v>149.80000000000001</v>
      </c>
      <c r="AB42" s="4">
        <f t="shared" si="9"/>
        <v>-106951.07</v>
      </c>
      <c r="AC42" s="4">
        <f t="shared" si="10"/>
        <v>10795.107</v>
      </c>
    </row>
    <row r="43" spans="1:29" s="16" customFormat="1" ht="13.2" x14ac:dyDescent="0.25">
      <c r="A43" s="19" t="s">
        <v>55</v>
      </c>
      <c r="B43" s="2" t="s">
        <v>12</v>
      </c>
      <c r="C43" s="24" t="s">
        <v>57</v>
      </c>
      <c r="D43" s="4">
        <v>200000</v>
      </c>
      <c r="E43" s="4">
        <v>200000</v>
      </c>
      <c r="F43" s="4">
        <v>200000</v>
      </c>
      <c r="G43" s="4">
        <v>200000</v>
      </c>
      <c r="H43" s="4">
        <v>-1000</v>
      </c>
      <c r="I43" s="4">
        <v>0</v>
      </c>
      <c r="J43" s="4">
        <v>0</v>
      </c>
      <c r="K43" s="4">
        <v>15052</v>
      </c>
      <c r="L43" s="4">
        <f>I43+J43+K43</f>
        <v>15052</v>
      </c>
      <c r="M43" s="4">
        <v>0</v>
      </c>
      <c r="N43" s="4">
        <v>0</v>
      </c>
      <c r="O43" s="4">
        <v>-16550</v>
      </c>
      <c r="P43" s="4">
        <f>M43+N43+O43</f>
        <v>-16550</v>
      </c>
      <c r="Q43" s="4">
        <f t="shared" si="2"/>
        <v>-1498</v>
      </c>
      <c r="R43" s="4">
        <v>0</v>
      </c>
      <c r="S43" s="4">
        <v>0</v>
      </c>
      <c r="T43" s="4">
        <v>0</v>
      </c>
      <c r="U43" s="4">
        <f t="shared" si="4"/>
        <v>0</v>
      </c>
      <c r="V43" s="4">
        <f t="shared" si="5"/>
        <v>-1498</v>
      </c>
      <c r="W43" s="4">
        <v>0</v>
      </c>
      <c r="X43" s="67">
        <v>0</v>
      </c>
      <c r="Y43" s="4">
        <v>-106453.07</v>
      </c>
      <c r="Z43" s="4">
        <f t="shared" si="7"/>
        <v>-107951.07</v>
      </c>
      <c r="AA43" s="5">
        <f t="shared" si="8"/>
        <v>149.80000000000001</v>
      </c>
      <c r="AB43" s="4">
        <f t="shared" si="9"/>
        <v>-106951.07</v>
      </c>
      <c r="AC43" s="4">
        <f t="shared" si="10"/>
        <v>10795.107</v>
      </c>
    </row>
    <row r="44" spans="1:29" s="16" customFormat="1" ht="29.4" customHeight="1" x14ac:dyDescent="0.25">
      <c r="A44" s="19" t="s">
        <v>58</v>
      </c>
      <c r="B44" s="2" t="s">
        <v>5</v>
      </c>
      <c r="C44" s="24" t="s">
        <v>59</v>
      </c>
      <c r="D44" s="4">
        <f t="shared" ref="D44:T44" si="46">+D45</f>
        <v>855000</v>
      </c>
      <c r="E44" s="4">
        <f t="shared" si="46"/>
        <v>20735000</v>
      </c>
      <c r="F44" s="4">
        <f t="shared" si="46"/>
        <v>20735000</v>
      </c>
      <c r="G44" s="4">
        <f t="shared" si="46"/>
        <v>20735000</v>
      </c>
      <c r="H44" s="4">
        <f t="shared" si="46"/>
        <v>22000000</v>
      </c>
      <c r="I44" s="4">
        <f t="shared" si="46"/>
        <v>200560</v>
      </c>
      <c r="J44" s="4">
        <f t="shared" si="46"/>
        <v>440072.5</v>
      </c>
      <c r="K44" s="4">
        <f t="shared" si="46"/>
        <v>5818939.3200000003</v>
      </c>
      <c r="L44" s="4">
        <f t="shared" si="46"/>
        <v>6459571.8200000003</v>
      </c>
      <c r="M44" s="4">
        <f t="shared" si="46"/>
        <v>2021966.25</v>
      </c>
      <c r="N44" s="4">
        <f t="shared" si="46"/>
        <v>1585387.55</v>
      </c>
      <c r="O44" s="4">
        <f t="shared" si="46"/>
        <v>3699335.09</v>
      </c>
      <c r="P44" s="4">
        <f t="shared" si="46"/>
        <v>7306688.8899999997</v>
      </c>
      <c r="Q44" s="4">
        <f t="shared" si="2"/>
        <v>13766260.710000001</v>
      </c>
      <c r="R44" s="4">
        <f t="shared" si="46"/>
        <v>1318005.02</v>
      </c>
      <c r="S44" s="4">
        <f t="shared" si="46"/>
        <v>814069.22</v>
      </c>
      <c r="T44" s="4">
        <f t="shared" si="46"/>
        <v>1529420.11</v>
      </c>
      <c r="U44" s="4">
        <f t="shared" si="4"/>
        <v>3661494.3500000006</v>
      </c>
      <c r="V44" s="4">
        <f t="shared" si="5"/>
        <v>17427755.060000002</v>
      </c>
      <c r="W44" s="4">
        <f t="shared" ref="W44:Y44" si="47">+W45</f>
        <v>994216.3</v>
      </c>
      <c r="X44" s="67">
        <f t="shared" si="47"/>
        <v>901353.7</v>
      </c>
      <c r="Y44" s="4">
        <f t="shared" si="47"/>
        <v>9417746.6300000008</v>
      </c>
      <c r="Z44" s="4">
        <f t="shared" si="7"/>
        <v>28741071.690000005</v>
      </c>
      <c r="AA44" s="5">
        <f t="shared" si="8"/>
        <v>79.217068454545469</v>
      </c>
      <c r="AB44" s="4">
        <f t="shared" si="9"/>
        <v>6741071.6900000051</v>
      </c>
      <c r="AC44" s="4">
        <f t="shared" si="10"/>
        <v>130.64123495454547</v>
      </c>
    </row>
    <row r="45" spans="1:29" s="16" customFormat="1" ht="30.6" customHeight="1" x14ac:dyDescent="0.25">
      <c r="A45" s="19" t="s">
        <v>60</v>
      </c>
      <c r="B45" s="2" t="s">
        <v>12</v>
      </c>
      <c r="C45" s="24" t="s">
        <v>61</v>
      </c>
      <c r="D45" s="4">
        <v>855000</v>
      </c>
      <c r="E45" s="4">
        <v>20735000</v>
      </c>
      <c r="F45" s="4">
        <v>20735000</v>
      </c>
      <c r="G45" s="4">
        <v>20735000</v>
      </c>
      <c r="H45" s="4">
        <v>22000000</v>
      </c>
      <c r="I45" s="4">
        <v>200560</v>
      </c>
      <c r="J45" s="4">
        <v>440072.5</v>
      </c>
      <c r="K45" s="4">
        <v>5818939.3200000003</v>
      </c>
      <c r="L45" s="4">
        <f>I45+J45+K45</f>
        <v>6459571.8200000003</v>
      </c>
      <c r="M45" s="4">
        <v>2021966.25</v>
      </c>
      <c r="N45" s="4">
        <v>1585387.55</v>
      </c>
      <c r="O45" s="4">
        <v>3699335.09</v>
      </c>
      <c r="P45" s="4">
        <f>M45+N45+O45</f>
        <v>7306688.8899999997</v>
      </c>
      <c r="Q45" s="4">
        <f t="shared" si="2"/>
        <v>13766260.710000001</v>
      </c>
      <c r="R45" s="4">
        <v>1318005.02</v>
      </c>
      <c r="S45" s="4">
        <v>814069.22</v>
      </c>
      <c r="T45" s="4">
        <v>1529420.11</v>
      </c>
      <c r="U45" s="4">
        <f t="shared" si="4"/>
        <v>3661494.3500000006</v>
      </c>
      <c r="V45" s="4">
        <f t="shared" si="5"/>
        <v>17427755.060000002</v>
      </c>
      <c r="W45" s="4">
        <v>994216.3</v>
      </c>
      <c r="X45" s="67">
        <v>901353.7</v>
      </c>
      <c r="Y45" s="4">
        <v>9417746.6300000008</v>
      </c>
      <c r="Z45" s="4">
        <f t="shared" si="7"/>
        <v>28741071.690000005</v>
      </c>
      <c r="AA45" s="5">
        <f t="shared" si="8"/>
        <v>79.217068454545469</v>
      </c>
      <c r="AB45" s="4">
        <f t="shared" si="9"/>
        <v>6741071.6900000051</v>
      </c>
      <c r="AC45" s="4">
        <f t="shared" si="10"/>
        <v>130.64123495454547</v>
      </c>
    </row>
    <row r="46" spans="1:29" s="16" customFormat="1" ht="13.2" x14ac:dyDescent="0.25">
      <c r="A46" s="1" t="s">
        <v>62</v>
      </c>
      <c r="B46" s="2" t="s">
        <v>5</v>
      </c>
      <c r="C46" s="3" t="s">
        <v>63</v>
      </c>
      <c r="D46" s="4">
        <f t="shared" ref="D46:P46" si="48">+D47+D49</f>
        <v>67702000</v>
      </c>
      <c r="E46" s="4">
        <f t="shared" si="48"/>
        <v>67702000</v>
      </c>
      <c r="F46" s="4">
        <f t="shared" si="48"/>
        <v>67702000</v>
      </c>
      <c r="G46" s="4">
        <f t="shared" si="48"/>
        <v>67702000</v>
      </c>
      <c r="H46" s="4">
        <f t="shared" si="48"/>
        <v>92634000</v>
      </c>
      <c r="I46" s="4">
        <f t="shared" si="48"/>
        <v>2695471.0300000003</v>
      </c>
      <c r="J46" s="4">
        <f t="shared" si="48"/>
        <v>4649543.93</v>
      </c>
      <c r="K46" s="4">
        <f t="shared" si="48"/>
        <v>7902980.9500000011</v>
      </c>
      <c r="L46" s="4">
        <f t="shared" si="48"/>
        <v>15247995.91</v>
      </c>
      <c r="M46" s="4">
        <f t="shared" si="48"/>
        <v>13857541.17</v>
      </c>
      <c r="N46" s="4">
        <f t="shared" si="48"/>
        <v>7393858.2200000007</v>
      </c>
      <c r="O46" s="4">
        <f t="shared" si="48"/>
        <v>2563471.06</v>
      </c>
      <c r="P46" s="4">
        <f t="shared" si="48"/>
        <v>23814870.449999999</v>
      </c>
      <c r="Q46" s="4">
        <f t="shared" si="2"/>
        <v>39062866.359999999</v>
      </c>
      <c r="R46" s="4">
        <f t="shared" ref="R46:T46" si="49">+R47+R49</f>
        <v>13852370.49</v>
      </c>
      <c r="S46" s="4">
        <f t="shared" si="49"/>
        <v>7841691.4099999992</v>
      </c>
      <c r="T46" s="4">
        <f t="shared" si="49"/>
        <v>853672.21</v>
      </c>
      <c r="U46" s="4">
        <f t="shared" si="4"/>
        <v>22547734.109999999</v>
      </c>
      <c r="V46" s="4">
        <f t="shared" si="5"/>
        <v>61610600.469999999</v>
      </c>
      <c r="W46" s="4">
        <f t="shared" ref="W46:Y46" si="50">+W47+W49</f>
        <v>10067203.220000001</v>
      </c>
      <c r="X46" s="67">
        <f t="shared" si="50"/>
        <v>13493384.57</v>
      </c>
      <c r="Y46" s="4">
        <f t="shared" si="50"/>
        <v>8252824.2299999995</v>
      </c>
      <c r="Z46" s="4">
        <f t="shared" si="7"/>
        <v>93424012.489999995</v>
      </c>
      <c r="AA46" s="5">
        <f t="shared" si="8"/>
        <v>66.509705367359715</v>
      </c>
      <c r="AB46" s="4">
        <f t="shared" si="9"/>
        <v>790012.48999999464</v>
      </c>
      <c r="AC46" s="4">
        <f t="shared" si="10"/>
        <v>100.85283210268368</v>
      </c>
    </row>
    <row r="47" spans="1:29" s="16" customFormat="1" ht="13.2" x14ac:dyDescent="0.25">
      <c r="A47" s="19" t="s">
        <v>64</v>
      </c>
      <c r="B47" s="2" t="s">
        <v>5</v>
      </c>
      <c r="C47" s="3" t="s">
        <v>65</v>
      </c>
      <c r="D47" s="4">
        <f t="shared" ref="D47:T47" si="51">+D48</f>
        <v>20400000</v>
      </c>
      <c r="E47" s="4">
        <f t="shared" si="51"/>
        <v>20400000</v>
      </c>
      <c r="F47" s="4">
        <f t="shared" si="51"/>
        <v>20400000</v>
      </c>
      <c r="G47" s="4">
        <f t="shared" si="51"/>
        <v>20400000</v>
      </c>
      <c r="H47" s="4">
        <f t="shared" si="51"/>
        <v>15500000</v>
      </c>
      <c r="I47" s="4">
        <f t="shared" si="51"/>
        <v>905103.02</v>
      </c>
      <c r="J47" s="4">
        <f t="shared" si="51"/>
        <v>866429.94</v>
      </c>
      <c r="K47" s="4">
        <f t="shared" si="51"/>
        <v>2955974.02</v>
      </c>
      <c r="L47" s="4">
        <f t="shared" si="51"/>
        <v>4727506.9800000004</v>
      </c>
      <c r="M47" s="4">
        <f t="shared" si="51"/>
        <v>1293431.28</v>
      </c>
      <c r="N47" s="4">
        <f t="shared" si="51"/>
        <v>413373.41</v>
      </c>
      <c r="O47" s="4">
        <f t="shared" si="51"/>
        <v>1692165.09</v>
      </c>
      <c r="P47" s="4">
        <f t="shared" si="51"/>
        <v>3398969.7800000003</v>
      </c>
      <c r="Q47" s="4">
        <f t="shared" si="2"/>
        <v>8126476.7600000007</v>
      </c>
      <c r="R47" s="4">
        <f t="shared" si="51"/>
        <v>417678.07</v>
      </c>
      <c r="S47" s="4">
        <f t="shared" si="51"/>
        <v>58477.05</v>
      </c>
      <c r="T47" s="4">
        <f t="shared" si="51"/>
        <v>-699855.55</v>
      </c>
      <c r="U47" s="4">
        <f t="shared" si="4"/>
        <v>-223700.43000000005</v>
      </c>
      <c r="V47" s="4">
        <f t="shared" si="5"/>
        <v>7902776.330000001</v>
      </c>
      <c r="W47" s="4">
        <f t="shared" ref="W47:Y47" si="52">+W48</f>
        <v>1483325.56</v>
      </c>
      <c r="X47" s="67">
        <f t="shared" si="52"/>
        <v>3134543.48</v>
      </c>
      <c r="Y47" s="4">
        <f t="shared" si="52"/>
        <v>3228297.8</v>
      </c>
      <c r="Z47" s="4">
        <f t="shared" si="7"/>
        <v>15748943.170000002</v>
      </c>
      <c r="AA47" s="5">
        <f t="shared" si="8"/>
        <v>50.985653741935486</v>
      </c>
      <c r="AB47" s="4">
        <f t="shared" si="9"/>
        <v>248943.17000000179</v>
      </c>
      <c r="AC47" s="4">
        <f t="shared" si="10"/>
        <v>101.60608496774195</v>
      </c>
    </row>
    <row r="48" spans="1:29" s="16" customFormat="1" ht="39.6" x14ac:dyDescent="0.25">
      <c r="A48" s="19" t="s">
        <v>66</v>
      </c>
      <c r="B48" s="2" t="s">
        <v>12</v>
      </c>
      <c r="C48" s="3" t="s">
        <v>67</v>
      </c>
      <c r="D48" s="4">
        <v>20400000</v>
      </c>
      <c r="E48" s="4">
        <v>20400000</v>
      </c>
      <c r="F48" s="4">
        <v>20400000</v>
      </c>
      <c r="G48" s="4">
        <v>20400000</v>
      </c>
      <c r="H48" s="4">
        <v>15500000</v>
      </c>
      <c r="I48" s="4">
        <v>905103.02</v>
      </c>
      <c r="J48" s="4">
        <v>866429.94</v>
      </c>
      <c r="K48" s="4">
        <v>2955974.02</v>
      </c>
      <c r="L48" s="4">
        <f>I48+J48+K48</f>
        <v>4727506.9800000004</v>
      </c>
      <c r="M48" s="4">
        <v>1293431.28</v>
      </c>
      <c r="N48" s="4">
        <v>413373.41</v>
      </c>
      <c r="O48" s="4">
        <v>1692165.09</v>
      </c>
      <c r="P48" s="4">
        <f>M48+N48+O48</f>
        <v>3398969.7800000003</v>
      </c>
      <c r="Q48" s="4">
        <f t="shared" si="2"/>
        <v>8126476.7600000007</v>
      </c>
      <c r="R48" s="4">
        <v>417678.07</v>
      </c>
      <c r="S48" s="4">
        <v>58477.05</v>
      </c>
      <c r="T48" s="4">
        <v>-699855.55</v>
      </c>
      <c r="U48" s="4">
        <f t="shared" si="4"/>
        <v>-223700.43000000005</v>
      </c>
      <c r="V48" s="4">
        <f t="shared" si="5"/>
        <v>7902776.330000001</v>
      </c>
      <c r="W48" s="4">
        <v>1483325.56</v>
      </c>
      <c r="X48" s="67">
        <v>3134543.48</v>
      </c>
      <c r="Y48" s="4">
        <v>3228297.8</v>
      </c>
      <c r="Z48" s="4">
        <f t="shared" si="7"/>
        <v>15748943.170000002</v>
      </c>
      <c r="AA48" s="5">
        <f t="shared" si="8"/>
        <v>50.985653741935486</v>
      </c>
      <c r="AB48" s="4">
        <f t="shared" si="9"/>
        <v>248943.17000000179</v>
      </c>
      <c r="AC48" s="4">
        <f t="shared" si="10"/>
        <v>101.60608496774195</v>
      </c>
    </row>
    <row r="49" spans="1:30" s="16" customFormat="1" ht="13.2" x14ac:dyDescent="0.25">
      <c r="A49" s="19" t="s">
        <v>68</v>
      </c>
      <c r="B49" s="2" t="s">
        <v>5</v>
      </c>
      <c r="C49" s="2" t="s">
        <v>69</v>
      </c>
      <c r="D49" s="4">
        <f t="shared" ref="D49:P49" si="53">+D50+D52</f>
        <v>47302000</v>
      </c>
      <c r="E49" s="4">
        <f t="shared" si="53"/>
        <v>47302000</v>
      </c>
      <c r="F49" s="4">
        <f t="shared" si="53"/>
        <v>47302000</v>
      </c>
      <c r="G49" s="4">
        <f t="shared" si="53"/>
        <v>47302000</v>
      </c>
      <c r="H49" s="4">
        <f t="shared" si="53"/>
        <v>77134000</v>
      </c>
      <c r="I49" s="4">
        <f t="shared" si="53"/>
        <v>1790368.01</v>
      </c>
      <c r="J49" s="4">
        <f t="shared" si="53"/>
        <v>3783113.9899999998</v>
      </c>
      <c r="K49" s="4">
        <f t="shared" si="53"/>
        <v>4947006.9300000006</v>
      </c>
      <c r="L49" s="4">
        <f t="shared" si="53"/>
        <v>10520488.93</v>
      </c>
      <c r="M49" s="4">
        <f t="shared" si="53"/>
        <v>12564109.890000001</v>
      </c>
      <c r="N49" s="4">
        <f t="shared" si="53"/>
        <v>6980484.8100000005</v>
      </c>
      <c r="O49" s="4">
        <f t="shared" si="53"/>
        <v>871305.97</v>
      </c>
      <c r="P49" s="4">
        <f t="shared" si="53"/>
        <v>20415900.669999998</v>
      </c>
      <c r="Q49" s="4">
        <f t="shared" si="2"/>
        <v>30936389.599999998</v>
      </c>
      <c r="R49" s="4">
        <f t="shared" ref="R49:T49" si="54">+R50+R52</f>
        <v>13434692.42</v>
      </c>
      <c r="S49" s="4">
        <f t="shared" si="54"/>
        <v>7783214.3599999994</v>
      </c>
      <c r="T49" s="4">
        <f t="shared" si="54"/>
        <v>1553527.76</v>
      </c>
      <c r="U49" s="4">
        <f t="shared" si="4"/>
        <v>22771434.540000003</v>
      </c>
      <c r="V49" s="4">
        <f t="shared" si="5"/>
        <v>53707824.140000001</v>
      </c>
      <c r="W49" s="4">
        <f t="shared" ref="W49:Y49" si="55">+W50+W52</f>
        <v>8583877.6600000001</v>
      </c>
      <c r="X49" s="67">
        <f t="shared" si="55"/>
        <v>10358841.09</v>
      </c>
      <c r="Y49" s="4">
        <f t="shared" si="55"/>
        <v>5024526.43</v>
      </c>
      <c r="Z49" s="4">
        <f t="shared" si="7"/>
        <v>77675069.319999993</v>
      </c>
      <c r="AA49" s="5">
        <f t="shared" si="8"/>
        <v>69.629247984027799</v>
      </c>
      <c r="AB49" s="4">
        <f t="shared" si="9"/>
        <v>541069.31999999285</v>
      </c>
      <c r="AC49" s="4">
        <f t="shared" si="10"/>
        <v>100.70146669432415</v>
      </c>
    </row>
    <row r="50" spans="1:30" s="16" customFormat="1" ht="13.2" x14ac:dyDescent="0.25">
      <c r="A50" s="19" t="s">
        <v>70</v>
      </c>
      <c r="B50" s="2" t="s">
        <v>5</v>
      </c>
      <c r="C50" s="2" t="s">
        <v>71</v>
      </c>
      <c r="D50" s="4">
        <f t="shared" ref="D50:T50" si="56">+D51</f>
        <v>36502000</v>
      </c>
      <c r="E50" s="4">
        <f t="shared" si="56"/>
        <v>36502000</v>
      </c>
      <c r="F50" s="4">
        <f t="shared" si="56"/>
        <v>36502000</v>
      </c>
      <c r="G50" s="4">
        <f t="shared" si="56"/>
        <v>36502000</v>
      </c>
      <c r="H50" s="4">
        <f t="shared" si="56"/>
        <v>65200000</v>
      </c>
      <c r="I50" s="4">
        <f t="shared" si="56"/>
        <v>1462159.46</v>
      </c>
      <c r="J50" s="4">
        <f t="shared" si="56"/>
        <v>2971529.59</v>
      </c>
      <c r="K50" s="4">
        <f t="shared" si="56"/>
        <v>4723494.74</v>
      </c>
      <c r="L50" s="4">
        <f t="shared" si="56"/>
        <v>9157183.7899999991</v>
      </c>
      <c r="M50" s="4">
        <f t="shared" si="56"/>
        <v>12303376.380000001</v>
      </c>
      <c r="N50" s="4">
        <f t="shared" si="56"/>
        <v>6892257.5800000001</v>
      </c>
      <c r="O50" s="4">
        <f t="shared" si="56"/>
        <v>753372.33</v>
      </c>
      <c r="P50" s="4">
        <f t="shared" si="56"/>
        <v>19949006.289999999</v>
      </c>
      <c r="Q50" s="4">
        <f t="shared" si="56"/>
        <v>29106190.079999998</v>
      </c>
      <c r="R50" s="4">
        <f t="shared" si="56"/>
        <v>13377094.970000001</v>
      </c>
      <c r="S50" s="4">
        <f t="shared" si="56"/>
        <v>7601844.0899999999</v>
      </c>
      <c r="T50" s="4">
        <f t="shared" si="56"/>
        <v>946359.67</v>
      </c>
      <c r="U50" s="4">
        <f t="shared" si="4"/>
        <v>21925298.730000004</v>
      </c>
      <c r="V50" s="4">
        <f t="shared" si="5"/>
        <v>51031488.810000002</v>
      </c>
      <c r="W50" s="4">
        <f t="shared" ref="W50:Y50" si="57">+W51</f>
        <v>7168935.29</v>
      </c>
      <c r="X50" s="67">
        <f t="shared" si="57"/>
        <v>6824632.0199999996</v>
      </c>
      <c r="Y50" s="4">
        <f t="shared" si="57"/>
        <v>454079.37</v>
      </c>
      <c r="Z50" s="4">
        <f t="shared" si="7"/>
        <v>65479135.490000002</v>
      </c>
      <c r="AA50" s="5">
        <f t="shared" si="8"/>
        <v>78.269154616564421</v>
      </c>
      <c r="AB50" s="4">
        <f t="shared" si="9"/>
        <v>279135.49000000209</v>
      </c>
      <c r="AC50" s="4">
        <f t="shared" si="10"/>
        <v>100.42812191717792</v>
      </c>
    </row>
    <row r="51" spans="1:30" s="16" customFormat="1" ht="26.4" x14ac:dyDescent="0.25">
      <c r="A51" s="19" t="s">
        <v>72</v>
      </c>
      <c r="B51" s="2" t="s">
        <v>12</v>
      </c>
      <c r="C51" s="2" t="s">
        <v>73</v>
      </c>
      <c r="D51" s="4">
        <v>36502000</v>
      </c>
      <c r="E51" s="4">
        <v>36502000</v>
      </c>
      <c r="F51" s="4">
        <v>36502000</v>
      </c>
      <c r="G51" s="4">
        <v>36502000</v>
      </c>
      <c r="H51" s="4">
        <v>65200000</v>
      </c>
      <c r="I51" s="4">
        <v>1462159.46</v>
      </c>
      <c r="J51" s="4">
        <v>2971529.59</v>
      </c>
      <c r="K51" s="4">
        <v>4723494.74</v>
      </c>
      <c r="L51" s="4">
        <f>I51+J51+K51</f>
        <v>9157183.7899999991</v>
      </c>
      <c r="M51" s="4">
        <v>12303376.380000001</v>
      </c>
      <c r="N51" s="4">
        <v>6892257.5800000001</v>
      </c>
      <c r="O51" s="4">
        <v>753372.33</v>
      </c>
      <c r="P51" s="4">
        <f>M51+N51+O51</f>
        <v>19949006.289999999</v>
      </c>
      <c r="Q51" s="4">
        <f t="shared" si="2"/>
        <v>29106190.079999998</v>
      </c>
      <c r="R51" s="4">
        <v>13377094.970000001</v>
      </c>
      <c r="S51" s="4">
        <v>7601844.0899999999</v>
      </c>
      <c r="T51" s="4">
        <v>946359.67</v>
      </c>
      <c r="U51" s="4">
        <f t="shared" si="4"/>
        <v>21925298.730000004</v>
      </c>
      <c r="V51" s="4">
        <f t="shared" si="5"/>
        <v>51031488.810000002</v>
      </c>
      <c r="W51" s="4">
        <v>7168935.29</v>
      </c>
      <c r="X51" s="67">
        <v>6824632.0199999996</v>
      </c>
      <c r="Y51" s="4">
        <v>454079.37</v>
      </c>
      <c r="Z51" s="4">
        <f t="shared" si="7"/>
        <v>65479135.490000002</v>
      </c>
      <c r="AA51" s="5">
        <f t="shared" si="8"/>
        <v>78.269154616564421</v>
      </c>
      <c r="AB51" s="4">
        <f t="shared" si="9"/>
        <v>279135.49000000209</v>
      </c>
      <c r="AC51" s="4">
        <f t="shared" si="10"/>
        <v>100.42812191717792</v>
      </c>
    </row>
    <row r="52" spans="1:30" s="16" customFormat="1" ht="13.2" x14ac:dyDescent="0.25">
      <c r="A52" s="19" t="s">
        <v>74</v>
      </c>
      <c r="B52" s="2" t="s">
        <v>5</v>
      </c>
      <c r="C52" s="2" t="s">
        <v>75</v>
      </c>
      <c r="D52" s="4">
        <f t="shared" ref="D52:T52" si="58">+D53</f>
        <v>10800000</v>
      </c>
      <c r="E52" s="4">
        <f t="shared" si="58"/>
        <v>10800000</v>
      </c>
      <c r="F52" s="4">
        <f t="shared" si="58"/>
        <v>10800000</v>
      </c>
      <c r="G52" s="4">
        <f t="shared" si="58"/>
        <v>10800000</v>
      </c>
      <c r="H52" s="4">
        <f t="shared" si="58"/>
        <v>11934000</v>
      </c>
      <c r="I52" s="4">
        <f t="shared" si="58"/>
        <v>328208.55</v>
      </c>
      <c r="J52" s="4">
        <f t="shared" si="58"/>
        <v>811584.4</v>
      </c>
      <c r="K52" s="4">
        <f t="shared" si="58"/>
        <v>223512.19</v>
      </c>
      <c r="L52" s="4">
        <f t="shared" si="58"/>
        <v>1363305.14</v>
      </c>
      <c r="M52" s="4">
        <f t="shared" si="58"/>
        <v>260733.51</v>
      </c>
      <c r="N52" s="4">
        <f t="shared" si="58"/>
        <v>88227.23</v>
      </c>
      <c r="O52" s="4">
        <f t="shared" si="58"/>
        <v>117933.64</v>
      </c>
      <c r="P52" s="4">
        <f t="shared" si="58"/>
        <v>466894.38</v>
      </c>
      <c r="Q52" s="4">
        <f t="shared" si="2"/>
        <v>1830199.52</v>
      </c>
      <c r="R52" s="4">
        <f t="shared" si="58"/>
        <v>57597.45</v>
      </c>
      <c r="S52" s="4">
        <f t="shared" si="58"/>
        <v>181370.27</v>
      </c>
      <c r="T52" s="4">
        <f t="shared" si="58"/>
        <v>607168.09</v>
      </c>
      <c r="U52" s="4">
        <f t="shared" si="4"/>
        <v>846135.80999999994</v>
      </c>
      <c r="V52" s="4">
        <f t="shared" si="5"/>
        <v>2676335.33</v>
      </c>
      <c r="W52" s="4">
        <f t="shared" ref="W52:Y52" si="59">+W53</f>
        <v>1414942.37</v>
      </c>
      <c r="X52" s="67">
        <f t="shared" si="59"/>
        <v>3534209.07</v>
      </c>
      <c r="Y52" s="4">
        <f t="shared" si="59"/>
        <v>4570447.0599999996</v>
      </c>
      <c r="Z52" s="4">
        <f t="shared" si="7"/>
        <v>12195933.829999998</v>
      </c>
      <c r="AA52" s="5">
        <f t="shared" si="8"/>
        <v>22.426138176638176</v>
      </c>
      <c r="AB52" s="4">
        <f t="shared" si="9"/>
        <v>261933.82999999821</v>
      </c>
      <c r="AC52" s="4">
        <f t="shared" si="10"/>
        <v>102.19485361153006</v>
      </c>
    </row>
    <row r="53" spans="1:30" s="16" customFormat="1" ht="26.4" x14ac:dyDescent="0.25">
      <c r="A53" s="19" t="s">
        <v>76</v>
      </c>
      <c r="B53" s="2" t="s">
        <v>12</v>
      </c>
      <c r="C53" s="2" t="s">
        <v>77</v>
      </c>
      <c r="D53" s="4">
        <v>10800000</v>
      </c>
      <c r="E53" s="4">
        <v>10800000</v>
      </c>
      <c r="F53" s="4">
        <v>10800000</v>
      </c>
      <c r="G53" s="4">
        <v>10800000</v>
      </c>
      <c r="H53" s="4">
        <v>11934000</v>
      </c>
      <c r="I53" s="4">
        <v>328208.55</v>
      </c>
      <c r="J53" s="4">
        <v>811584.4</v>
      </c>
      <c r="K53" s="4">
        <v>223512.19</v>
      </c>
      <c r="L53" s="4">
        <f>I53+J53+K53</f>
        <v>1363305.14</v>
      </c>
      <c r="M53" s="4">
        <v>260733.51</v>
      </c>
      <c r="N53" s="4">
        <v>88227.23</v>
      </c>
      <c r="O53" s="4">
        <v>117933.64</v>
      </c>
      <c r="P53" s="4">
        <f>M53+N53+O53</f>
        <v>466894.38</v>
      </c>
      <c r="Q53" s="4">
        <f t="shared" si="2"/>
        <v>1830199.52</v>
      </c>
      <c r="R53" s="4">
        <v>57597.45</v>
      </c>
      <c r="S53" s="4">
        <v>181370.27</v>
      </c>
      <c r="T53" s="4">
        <v>607168.09</v>
      </c>
      <c r="U53" s="4">
        <f t="shared" si="4"/>
        <v>846135.80999999994</v>
      </c>
      <c r="V53" s="4">
        <f t="shared" si="5"/>
        <v>2676335.33</v>
      </c>
      <c r="W53" s="4">
        <v>1414942.37</v>
      </c>
      <c r="X53" s="67">
        <v>3534209.07</v>
      </c>
      <c r="Y53" s="4">
        <v>4570447.0599999996</v>
      </c>
      <c r="Z53" s="4">
        <f t="shared" si="7"/>
        <v>12195933.829999998</v>
      </c>
      <c r="AA53" s="5">
        <f t="shared" si="8"/>
        <v>22.426138176638176</v>
      </c>
      <c r="AB53" s="4">
        <f t="shared" si="9"/>
        <v>261933.82999999821</v>
      </c>
      <c r="AC53" s="4">
        <f t="shared" si="10"/>
        <v>102.19485361153006</v>
      </c>
    </row>
    <row r="54" spans="1:30" s="25" customFormat="1" ht="13.2" x14ac:dyDescent="0.25">
      <c r="A54" s="1" t="s">
        <v>78</v>
      </c>
      <c r="B54" s="7" t="s">
        <v>5</v>
      </c>
      <c r="C54" s="3" t="s">
        <v>79</v>
      </c>
      <c r="D54" s="4">
        <f t="shared" ref="D54:P54" si="60">+D55+D57</f>
        <v>18925720</v>
      </c>
      <c r="E54" s="4">
        <f t="shared" si="60"/>
        <v>18925720</v>
      </c>
      <c r="F54" s="4">
        <f t="shared" si="60"/>
        <v>18925720</v>
      </c>
      <c r="G54" s="4">
        <f t="shared" si="60"/>
        <v>18925720</v>
      </c>
      <c r="H54" s="4">
        <f t="shared" si="60"/>
        <v>17059720</v>
      </c>
      <c r="I54" s="4">
        <f t="shared" si="60"/>
        <v>859432.64</v>
      </c>
      <c r="J54" s="4">
        <f t="shared" si="60"/>
        <v>778870.8</v>
      </c>
      <c r="K54" s="4">
        <f t="shared" si="60"/>
        <v>1919695.41</v>
      </c>
      <c r="L54" s="4">
        <f t="shared" si="60"/>
        <v>3557998.8499999996</v>
      </c>
      <c r="M54" s="4">
        <f t="shared" si="60"/>
        <v>1360112.18</v>
      </c>
      <c r="N54" s="4">
        <f t="shared" si="60"/>
        <v>1459718.62</v>
      </c>
      <c r="O54" s="4">
        <f t="shared" si="60"/>
        <v>1418125.09</v>
      </c>
      <c r="P54" s="4">
        <f t="shared" si="60"/>
        <v>4237955.8899999997</v>
      </c>
      <c r="Q54" s="4">
        <f t="shared" si="2"/>
        <v>7795954.7399999993</v>
      </c>
      <c r="R54" s="4">
        <f t="shared" ref="R54:T54" si="61">+R55+R57</f>
        <v>1349272.19</v>
      </c>
      <c r="S54" s="4">
        <f t="shared" si="61"/>
        <v>1180895.6100000001</v>
      </c>
      <c r="T54" s="4">
        <f t="shared" si="61"/>
        <v>1513284.72</v>
      </c>
      <c r="U54" s="4">
        <f t="shared" si="4"/>
        <v>4043452.5199999996</v>
      </c>
      <c r="V54" s="4">
        <f t="shared" si="5"/>
        <v>11839407.259999998</v>
      </c>
      <c r="W54" s="4">
        <f t="shared" ref="W54:Y54" si="62">+W55+W57</f>
        <v>1685055.99</v>
      </c>
      <c r="X54" s="67">
        <f t="shared" si="62"/>
        <v>1729025.5</v>
      </c>
      <c r="Y54" s="4">
        <f t="shared" si="62"/>
        <v>2257305.52</v>
      </c>
      <c r="Z54" s="4">
        <f t="shared" si="7"/>
        <v>17510794.27</v>
      </c>
      <c r="AA54" s="5">
        <f t="shared" si="8"/>
        <v>69.399774791145447</v>
      </c>
      <c r="AB54" s="4">
        <f t="shared" si="9"/>
        <v>451074.26999999955</v>
      </c>
      <c r="AC54" s="4">
        <f t="shared" si="10"/>
        <v>102.64408952784687</v>
      </c>
    </row>
    <row r="55" spans="1:30" s="25" customFormat="1" ht="30" customHeight="1" x14ac:dyDescent="0.25">
      <c r="A55" s="19" t="s">
        <v>80</v>
      </c>
      <c r="B55" s="2" t="s">
        <v>5</v>
      </c>
      <c r="C55" s="3" t="s">
        <v>81</v>
      </c>
      <c r="D55" s="4">
        <f t="shared" ref="D55:T55" si="63">+D56</f>
        <v>16900000</v>
      </c>
      <c r="E55" s="4">
        <f t="shared" si="63"/>
        <v>16900000</v>
      </c>
      <c r="F55" s="4">
        <f t="shared" si="63"/>
        <v>16900000</v>
      </c>
      <c r="G55" s="4">
        <f t="shared" si="63"/>
        <v>16900000</v>
      </c>
      <c r="H55" s="4">
        <f t="shared" si="63"/>
        <v>16000000</v>
      </c>
      <c r="I55" s="4">
        <f t="shared" si="63"/>
        <v>841832.64</v>
      </c>
      <c r="J55" s="4">
        <f t="shared" si="63"/>
        <v>761270.8</v>
      </c>
      <c r="K55" s="4">
        <f t="shared" si="63"/>
        <v>1635295.41</v>
      </c>
      <c r="L55" s="4">
        <f t="shared" si="63"/>
        <v>3238398.8499999996</v>
      </c>
      <c r="M55" s="4">
        <f t="shared" si="63"/>
        <v>1299112.18</v>
      </c>
      <c r="N55" s="4">
        <f t="shared" si="63"/>
        <v>1446718.62</v>
      </c>
      <c r="O55" s="4">
        <f t="shared" si="63"/>
        <v>1172925.0900000001</v>
      </c>
      <c r="P55" s="4">
        <f t="shared" si="63"/>
        <v>3918755.8899999997</v>
      </c>
      <c r="Q55" s="4">
        <f t="shared" si="2"/>
        <v>7157154.7399999993</v>
      </c>
      <c r="R55" s="4">
        <f t="shared" si="63"/>
        <v>1269272.19</v>
      </c>
      <c r="S55" s="4">
        <f t="shared" si="63"/>
        <v>1165895.6100000001</v>
      </c>
      <c r="T55" s="4">
        <f t="shared" si="63"/>
        <v>1279684.72</v>
      </c>
      <c r="U55" s="4">
        <f t="shared" si="4"/>
        <v>3714852.5199999996</v>
      </c>
      <c r="V55" s="4">
        <f t="shared" si="5"/>
        <v>10872007.259999998</v>
      </c>
      <c r="W55" s="4">
        <f t="shared" ref="W55:Y55" si="64">+W56</f>
        <v>1627455.99</v>
      </c>
      <c r="X55" s="67">
        <f t="shared" si="64"/>
        <v>1717825.5</v>
      </c>
      <c r="Y55" s="4">
        <f t="shared" si="64"/>
        <v>1993305.52</v>
      </c>
      <c r="Z55" s="4">
        <f t="shared" si="7"/>
        <v>16210594.269999998</v>
      </c>
      <c r="AA55" s="5">
        <f t="shared" si="8"/>
        <v>67.950045374999988</v>
      </c>
      <c r="AB55" s="4">
        <f t="shared" si="9"/>
        <v>210594.26999999769</v>
      </c>
      <c r="AC55" s="4">
        <f t="shared" si="10"/>
        <v>101.31621418749998</v>
      </c>
    </row>
    <row r="56" spans="1:30" s="16" customFormat="1" ht="43.8" customHeight="1" x14ac:dyDescent="0.25">
      <c r="A56" s="19" t="s">
        <v>82</v>
      </c>
      <c r="B56" s="2" t="s">
        <v>12</v>
      </c>
      <c r="C56" s="3" t="s">
        <v>83</v>
      </c>
      <c r="D56" s="4">
        <v>16900000</v>
      </c>
      <c r="E56" s="4">
        <v>16900000</v>
      </c>
      <c r="F56" s="4">
        <v>16900000</v>
      </c>
      <c r="G56" s="4">
        <v>16900000</v>
      </c>
      <c r="H56" s="4">
        <v>16000000</v>
      </c>
      <c r="I56" s="4">
        <v>841832.64</v>
      </c>
      <c r="J56" s="4">
        <v>761270.8</v>
      </c>
      <c r="K56" s="4">
        <v>1635295.41</v>
      </c>
      <c r="L56" s="4">
        <f>I56+J56+K56</f>
        <v>3238398.8499999996</v>
      </c>
      <c r="M56" s="4">
        <v>1299112.18</v>
      </c>
      <c r="N56" s="4">
        <v>1446718.62</v>
      </c>
      <c r="O56" s="4">
        <v>1172925.0900000001</v>
      </c>
      <c r="P56" s="4">
        <f>M56+N56+O56</f>
        <v>3918755.8899999997</v>
      </c>
      <c r="Q56" s="4">
        <f t="shared" si="2"/>
        <v>7157154.7399999993</v>
      </c>
      <c r="R56" s="4">
        <v>1269272.19</v>
      </c>
      <c r="S56" s="4">
        <v>1165895.6100000001</v>
      </c>
      <c r="T56" s="4">
        <v>1279684.72</v>
      </c>
      <c r="U56" s="4">
        <f t="shared" si="4"/>
        <v>3714852.5199999996</v>
      </c>
      <c r="V56" s="4">
        <f t="shared" si="5"/>
        <v>10872007.259999998</v>
      </c>
      <c r="W56" s="4">
        <v>1627455.99</v>
      </c>
      <c r="X56" s="67">
        <v>1717825.5</v>
      </c>
      <c r="Y56" s="4">
        <v>1993305.52</v>
      </c>
      <c r="Z56" s="4">
        <f t="shared" si="7"/>
        <v>16210594.269999998</v>
      </c>
      <c r="AA56" s="5">
        <f t="shared" si="8"/>
        <v>67.950045374999988</v>
      </c>
      <c r="AB56" s="4">
        <f t="shared" si="9"/>
        <v>210594.26999999769</v>
      </c>
      <c r="AC56" s="4">
        <f t="shared" si="10"/>
        <v>101.31621418749998</v>
      </c>
    </row>
    <row r="57" spans="1:30" s="16" customFormat="1" ht="29.4" customHeight="1" x14ac:dyDescent="0.25">
      <c r="A57" s="19" t="s">
        <v>84</v>
      </c>
      <c r="B57" s="7" t="s">
        <v>5</v>
      </c>
      <c r="C57" s="3" t="s">
        <v>85</v>
      </c>
      <c r="D57" s="4">
        <f t="shared" ref="D57:K57" si="65">+D58+D59</f>
        <v>2025720</v>
      </c>
      <c r="E57" s="4">
        <f t="shared" si="65"/>
        <v>2025720</v>
      </c>
      <c r="F57" s="4">
        <f t="shared" si="65"/>
        <v>2025720</v>
      </c>
      <c r="G57" s="4">
        <f t="shared" si="65"/>
        <v>2025720</v>
      </c>
      <c r="H57" s="4">
        <f t="shared" si="65"/>
        <v>1059720</v>
      </c>
      <c r="I57" s="4">
        <f t="shared" si="65"/>
        <v>17600</v>
      </c>
      <c r="J57" s="4">
        <f t="shared" si="65"/>
        <v>17600</v>
      </c>
      <c r="K57" s="4">
        <f t="shared" si="65"/>
        <v>284400</v>
      </c>
      <c r="L57" s="4">
        <f>+L58+L59</f>
        <v>319600</v>
      </c>
      <c r="M57" s="4">
        <f t="shared" ref="M57:P57" si="66">+M58+M59</f>
        <v>61000</v>
      </c>
      <c r="N57" s="4">
        <f t="shared" si="66"/>
        <v>13000</v>
      </c>
      <c r="O57" s="4">
        <f t="shared" si="66"/>
        <v>245200</v>
      </c>
      <c r="P57" s="4">
        <f t="shared" si="66"/>
        <v>319200</v>
      </c>
      <c r="Q57" s="4">
        <f t="shared" si="2"/>
        <v>638800</v>
      </c>
      <c r="R57" s="4">
        <f t="shared" ref="R57:T57" si="67">+R58+R59</f>
        <v>80000</v>
      </c>
      <c r="S57" s="4">
        <f t="shared" si="67"/>
        <v>15000</v>
      </c>
      <c r="T57" s="4">
        <f t="shared" si="67"/>
        <v>233600</v>
      </c>
      <c r="U57" s="4">
        <f t="shared" si="4"/>
        <v>328600</v>
      </c>
      <c r="V57" s="4">
        <f t="shared" si="5"/>
        <v>967400</v>
      </c>
      <c r="W57" s="4">
        <f t="shared" ref="W57:Y57" si="68">+W58+W59</f>
        <v>57600</v>
      </c>
      <c r="X57" s="67">
        <f t="shared" si="68"/>
        <v>11200</v>
      </c>
      <c r="Y57" s="4">
        <f t="shared" si="68"/>
        <v>264000</v>
      </c>
      <c r="Z57" s="4">
        <f t="shared" si="7"/>
        <v>1300200</v>
      </c>
      <c r="AA57" s="5">
        <f t="shared" si="8"/>
        <v>91.288264824670676</v>
      </c>
      <c r="AB57" s="4">
        <f t="shared" si="9"/>
        <v>240480</v>
      </c>
      <c r="AC57" s="4">
        <f t="shared" si="10"/>
        <v>122.6927867738648</v>
      </c>
    </row>
    <row r="58" spans="1:30" s="16" customFormat="1" ht="30.6" customHeight="1" x14ac:dyDescent="0.25">
      <c r="A58" s="19" t="s">
        <v>86</v>
      </c>
      <c r="B58" s="7" t="s">
        <v>87</v>
      </c>
      <c r="C58" s="3" t="s">
        <v>88</v>
      </c>
      <c r="D58" s="4">
        <v>235000</v>
      </c>
      <c r="E58" s="4">
        <v>235000</v>
      </c>
      <c r="F58" s="4">
        <v>235000</v>
      </c>
      <c r="G58" s="4">
        <v>235000</v>
      </c>
      <c r="H58" s="4">
        <v>145000</v>
      </c>
      <c r="I58" s="4">
        <v>0</v>
      </c>
      <c r="J58" s="4">
        <v>0</v>
      </c>
      <c r="K58" s="4">
        <v>30000</v>
      </c>
      <c r="L58" s="4">
        <f>I58+J58+K58</f>
        <v>30000</v>
      </c>
      <c r="M58" s="4">
        <v>45000</v>
      </c>
      <c r="N58" s="4">
        <v>5000</v>
      </c>
      <c r="O58" s="4">
        <v>10000</v>
      </c>
      <c r="P58" s="4">
        <f>M58+N58+O58</f>
        <v>60000</v>
      </c>
      <c r="Q58" s="4">
        <f t="shared" si="2"/>
        <v>90000</v>
      </c>
      <c r="R58" s="4">
        <v>40000</v>
      </c>
      <c r="S58" s="4">
        <v>15000</v>
      </c>
      <c r="T58" s="4">
        <v>0</v>
      </c>
      <c r="U58" s="4">
        <f t="shared" si="4"/>
        <v>55000</v>
      </c>
      <c r="V58" s="4">
        <f t="shared" si="5"/>
        <v>145000</v>
      </c>
      <c r="W58" s="4">
        <v>0</v>
      </c>
      <c r="X58" s="67">
        <v>0</v>
      </c>
      <c r="Y58" s="4">
        <v>0</v>
      </c>
      <c r="Z58" s="4">
        <f t="shared" si="7"/>
        <v>145000</v>
      </c>
      <c r="AA58" s="5">
        <f t="shared" si="8"/>
        <v>100</v>
      </c>
      <c r="AB58" s="4">
        <f t="shared" si="9"/>
        <v>0</v>
      </c>
      <c r="AC58" s="4">
        <f t="shared" si="10"/>
        <v>100</v>
      </c>
    </row>
    <row r="59" spans="1:30" s="16" customFormat="1" ht="56.4" customHeight="1" x14ac:dyDescent="0.25">
      <c r="A59" s="19" t="s">
        <v>89</v>
      </c>
      <c r="B59" s="7" t="s">
        <v>5</v>
      </c>
      <c r="C59" s="23" t="s">
        <v>90</v>
      </c>
      <c r="D59" s="4">
        <f t="shared" ref="D59:T59" si="69">+D60</f>
        <v>1790720</v>
      </c>
      <c r="E59" s="4">
        <f t="shared" si="69"/>
        <v>1790720</v>
      </c>
      <c r="F59" s="4">
        <f t="shared" si="69"/>
        <v>1790720</v>
      </c>
      <c r="G59" s="4">
        <f t="shared" si="69"/>
        <v>1790720</v>
      </c>
      <c r="H59" s="4">
        <f t="shared" si="69"/>
        <v>914720</v>
      </c>
      <c r="I59" s="4">
        <f t="shared" si="69"/>
        <v>17600</v>
      </c>
      <c r="J59" s="4">
        <f t="shared" si="69"/>
        <v>17600</v>
      </c>
      <c r="K59" s="4">
        <f t="shared" si="69"/>
        <v>254400</v>
      </c>
      <c r="L59" s="4">
        <f t="shared" si="69"/>
        <v>289600</v>
      </c>
      <c r="M59" s="4">
        <f t="shared" si="69"/>
        <v>16000</v>
      </c>
      <c r="N59" s="4">
        <f t="shared" si="69"/>
        <v>8000</v>
      </c>
      <c r="O59" s="4">
        <f t="shared" si="69"/>
        <v>235200</v>
      </c>
      <c r="P59" s="4">
        <f t="shared" si="69"/>
        <v>259200</v>
      </c>
      <c r="Q59" s="4">
        <f t="shared" si="2"/>
        <v>548800</v>
      </c>
      <c r="R59" s="4">
        <f t="shared" si="69"/>
        <v>40000</v>
      </c>
      <c r="S59" s="4">
        <f t="shared" si="69"/>
        <v>0</v>
      </c>
      <c r="T59" s="4">
        <f t="shared" si="69"/>
        <v>233600</v>
      </c>
      <c r="U59" s="4">
        <f t="shared" si="4"/>
        <v>273600</v>
      </c>
      <c r="V59" s="4">
        <f t="shared" si="5"/>
        <v>822400</v>
      </c>
      <c r="W59" s="4">
        <f t="shared" ref="W59:Y59" si="70">+W60</f>
        <v>57600</v>
      </c>
      <c r="X59" s="67">
        <f t="shared" si="70"/>
        <v>11200</v>
      </c>
      <c r="Y59" s="4">
        <f t="shared" si="70"/>
        <v>264000</v>
      </c>
      <c r="Z59" s="4">
        <f t="shared" si="7"/>
        <v>1155200</v>
      </c>
      <c r="AA59" s="5">
        <f t="shared" si="8"/>
        <v>89.907294035333223</v>
      </c>
      <c r="AB59" s="4">
        <f t="shared" si="9"/>
        <v>240480</v>
      </c>
      <c r="AC59" s="4">
        <f t="shared" si="10"/>
        <v>126.29001224418401</v>
      </c>
    </row>
    <row r="60" spans="1:30" s="16" customFormat="1" ht="82.2" customHeight="1" x14ac:dyDescent="0.25">
      <c r="A60" s="19" t="s">
        <v>91</v>
      </c>
      <c r="B60" s="7" t="s">
        <v>92</v>
      </c>
      <c r="C60" s="3" t="s">
        <v>93</v>
      </c>
      <c r="D60" s="4">
        <v>1790720</v>
      </c>
      <c r="E60" s="4">
        <v>1790720</v>
      </c>
      <c r="F60" s="4">
        <v>1790720</v>
      </c>
      <c r="G60" s="4">
        <v>1790720</v>
      </c>
      <c r="H60" s="4">
        <v>914720</v>
      </c>
      <c r="I60" s="4">
        <v>17600</v>
      </c>
      <c r="J60" s="4">
        <v>17600</v>
      </c>
      <c r="K60" s="4">
        <v>254400</v>
      </c>
      <c r="L60" s="4">
        <f>I60+J60+K60</f>
        <v>289600</v>
      </c>
      <c r="M60" s="4">
        <v>16000</v>
      </c>
      <c r="N60" s="4">
        <v>8000</v>
      </c>
      <c r="O60" s="4">
        <v>235200</v>
      </c>
      <c r="P60" s="4">
        <f>M60+N60+O60</f>
        <v>259200</v>
      </c>
      <c r="Q60" s="4">
        <f t="shared" si="2"/>
        <v>548800</v>
      </c>
      <c r="R60" s="4">
        <v>40000</v>
      </c>
      <c r="S60" s="4">
        <v>0</v>
      </c>
      <c r="T60" s="4">
        <v>233600</v>
      </c>
      <c r="U60" s="4">
        <f t="shared" si="4"/>
        <v>273600</v>
      </c>
      <c r="V60" s="4">
        <f t="shared" si="5"/>
        <v>822400</v>
      </c>
      <c r="W60" s="4">
        <v>57600</v>
      </c>
      <c r="X60" s="67">
        <v>11200</v>
      </c>
      <c r="Y60" s="4">
        <v>264000</v>
      </c>
      <c r="Z60" s="4">
        <f t="shared" si="7"/>
        <v>1155200</v>
      </c>
      <c r="AA60" s="5">
        <f t="shared" si="8"/>
        <v>89.907294035333223</v>
      </c>
      <c r="AB60" s="4">
        <f t="shared" si="9"/>
        <v>240480</v>
      </c>
      <c r="AC60" s="4">
        <f t="shared" si="10"/>
        <v>126.29001224418401</v>
      </c>
    </row>
    <row r="61" spans="1:30" s="16" customFormat="1" ht="26.4" x14ac:dyDescent="0.25">
      <c r="A61" s="1" t="s">
        <v>433</v>
      </c>
      <c r="B61" s="2" t="s">
        <v>5</v>
      </c>
      <c r="C61" s="3" t="s">
        <v>434</v>
      </c>
      <c r="D61" s="4">
        <f t="shared" ref="D61:P61" si="71">D62+D66</f>
        <v>0</v>
      </c>
      <c r="E61" s="4">
        <f t="shared" si="71"/>
        <v>0</v>
      </c>
      <c r="F61" s="4">
        <f t="shared" si="71"/>
        <v>0</v>
      </c>
      <c r="G61" s="4">
        <f t="shared" si="71"/>
        <v>0</v>
      </c>
      <c r="H61" s="4">
        <f t="shared" si="71"/>
        <v>-7.6300000000000008</v>
      </c>
      <c r="I61" s="4">
        <f t="shared" si="71"/>
        <v>0</v>
      </c>
      <c r="J61" s="4">
        <f t="shared" si="71"/>
        <v>3.02</v>
      </c>
      <c r="K61" s="4">
        <f t="shared" si="71"/>
        <v>0</v>
      </c>
      <c r="L61" s="4">
        <f t="shared" si="71"/>
        <v>3.02</v>
      </c>
      <c r="M61" s="4">
        <f t="shared" si="71"/>
        <v>0</v>
      </c>
      <c r="N61" s="4">
        <f t="shared" si="71"/>
        <v>0</v>
      </c>
      <c r="O61" s="4">
        <f t="shared" si="71"/>
        <v>0</v>
      </c>
      <c r="P61" s="4">
        <f t="shared" si="71"/>
        <v>0</v>
      </c>
      <c r="Q61" s="4">
        <f t="shared" si="2"/>
        <v>3.02</v>
      </c>
      <c r="R61" s="4">
        <f>R62+R66</f>
        <v>0</v>
      </c>
      <c r="S61" s="4">
        <f>S62+S66</f>
        <v>-10.65</v>
      </c>
      <c r="T61" s="4">
        <f>T62+T66</f>
        <v>0</v>
      </c>
      <c r="U61" s="4">
        <f t="shared" si="4"/>
        <v>-10.65</v>
      </c>
      <c r="V61" s="4">
        <f t="shared" si="5"/>
        <v>-7.6300000000000008</v>
      </c>
      <c r="W61" s="4">
        <f>W62+W66</f>
        <v>0</v>
      </c>
      <c r="X61" s="67">
        <f>X62+X66</f>
        <v>0</v>
      </c>
      <c r="Y61" s="4">
        <f>Y62+Y66</f>
        <v>0</v>
      </c>
      <c r="Z61" s="4">
        <f t="shared" si="7"/>
        <v>-7.6300000000000008</v>
      </c>
      <c r="AA61" s="5"/>
      <c r="AB61" s="4">
        <f t="shared" si="9"/>
        <v>0</v>
      </c>
      <c r="AC61" s="4">
        <f t="shared" si="10"/>
        <v>100</v>
      </c>
      <c r="AD61" s="25"/>
    </row>
    <row r="62" spans="1:30" s="16" customFormat="1" ht="13.2" x14ac:dyDescent="0.25">
      <c r="A62" s="8" t="s">
        <v>472</v>
      </c>
      <c r="B62" s="2" t="s">
        <v>5</v>
      </c>
      <c r="C62" s="3" t="s">
        <v>473</v>
      </c>
      <c r="D62" s="4">
        <f t="shared" ref="D62:S64" si="72">D63</f>
        <v>0</v>
      </c>
      <c r="E62" s="4">
        <f t="shared" si="72"/>
        <v>0</v>
      </c>
      <c r="F62" s="4">
        <f t="shared" si="72"/>
        <v>0</v>
      </c>
      <c r="G62" s="4">
        <f t="shared" si="72"/>
        <v>0</v>
      </c>
      <c r="H62" s="4">
        <f>H63+H64</f>
        <v>-8.0400000000000009</v>
      </c>
      <c r="I62" s="4">
        <f t="shared" ref="I62:T62" si="73">I63+I64</f>
        <v>0</v>
      </c>
      <c r="J62" s="4">
        <f t="shared" si="73"/>
        <v>2.61</v>
      </c>
      <c r="K62" s="4">
        <f t="shared" si="73"/>
        <v>0</v>
      </c>
      <c r="L62" s="4">
        <f t="shared" si="73"/>
        <v>2.61</v>
      </c>
      <c r="M62" s="4">
        <f t="shared" si="73"/>
        <v>0</v>
      </c>
      <c r="N62" s="4">
        <f t="shared" si="73"/>
        <v>0</v>
      </c>
      <c r="O62" s="4">
        <f t="shared" si="73"/>
        <v>0</v>
      </c>
      <c r="P62" s="4">
        <f t="shared" si="73"/>
        <v>0</v>
      </c>
      <c r="Q62" s="4">
        <f t="shared" si="73"/>
        <v>2.61</v>
      </c>
      <c r="R62" s="4">
        <f t="shared" si="73"/>
        <v>0</v>
      </c>
      <c r="S62" s="4">
        <f t="shared" si="73"/>
        <v>-10.65</v>
      </c>
      <c r="T62" s="4">
        <f t="shared" si="73"/>
        <v>0</v>
      </c>
      <c r="U62" s="4">
        <f t="shared" si="4"/>
        <v>-10.65</v>
      </c>
      <c r="V62" s="4">
        <f t="shared" si="5"/>
        <v>-8.0400000000000009</v>
      </c>
      <c r="W62" s="4">
        <f t="shared" ref="W62:Y62" si="74">W63+W64</f>
        <v>0</v>
      </c>
      <c r="X62" s="67">
        <f t="shared" si="74"/>
        <v>0</v>
      </c>
      <c r="Y62" s="4">
        <f t="shared" si="74"/>
        <v>0</v>
      </c>
      <c r="Z62" s="4">
        <f t="shared" si="7"/>
        <v>-8.0400000000000009</v>
      </c>
      <c r="AA62" s="5"/>
      <c r="AB62" s="4">
        <f t="shared" si="9"/>
        <v>0</v>
      </c>
      <c r="AC62" s="4">
        <f t="shared" si="10"/>
        <v>100</v>
      </c>
      <c r="AD62" s="25"/>
    </row>
    <row r="63" spans="1:30" s="16" customFormat="1" ht="13.2" x14ac:dyDescent="0.25">
      <c r="A63" s="26" t="s">
        <v>471</v>
      </c>
      <c r="B63" s="2" t="s">
        <v>12</v>
      </c>
      <c r="C63" s="3" t="s">
        <v>448</v>
      </c>
      <c r="D63" s="4">
        <v>0</v>
      </c>
      <c r="E63" s="4">
        <v>0</v>
      </c>
      <c r="F63" s="4">
        <v>0</v>
      </c>
      <c r="G63" s="4">
        <v>0</v>
      </c>
      <c r="H63" s="4">
        <v>2.61</v>
      </c>
      <c r="I63" s="4">
        <v>0</v>
      </c>
      <c r="J63" s="4">
        <v>2.61</v>
      </c>
      <c r="K63" s="4">
        <v>0</v>
      </c>
      <c r="L63" s="6">
        <f>I63+J63+K63</f>
        <v>2.61</v>
      </c>
      <c r="M63" s="4">
        <v>0</v>
      </c>
      <c r="N63" s="4">
        <v>0</v>
      </c>
      <c r="O63" s="4">
        <v>0</v>
      </c>
      <c r="P63" s="6">
        <f>M63+N63+O63</f>
        <v>0</v>
      </c>
      <c r="Q63" s="4">
        <f t="shared" si="2"/>
        <v>2.61</v>
      </c>
      <c r="R63" s="4">
        <v>0</v>
      </c>
      <c r="S63" s="4">
        <v>0</v>
      </c>
      <c r="T63" s="4">
        <v>0</v>
      </c>
      <c r="U63" s="4">
        <f t="shared" si="4"/>
        <v>0</v>
      </c>
      <c r="V63" s="4">
        <f t="shared" si="5"/>
        <v>2.61</v>
      </c>
      <c r="W63" s="4">
        <v>0</v>
      </c>
      <c r="X63" s="67">
        <v>0</v>
      </c>
      <c r="Y63" s="4">
        <v>0</v>
      </c>
      <c r="Z63" s="4">
        <f t="shared" si="7"/>
        <v>2.61</v>
      </c>
      <c r="AA63" s="5"/>
      <c r="AB63" s="4">
        <f t="shared" si="9"/>
        <v>0</v>
      </c>
      <c r="AC63" s="4">
        <f t="shared" si="10"/>
        <v>100</v>
      </c>
      <c r="AD63" s="25"/>
    </row>
    <row r="64" spans="1:30" s="16" customFormat="1" ht="26.4" x14ac:dyDescent="0.25">
      <c r="A64" s="8" t="s">
        <v>524</v>
      </c>
      <c r="B64" s="2" t="s">
        <v>5</v>
      </c>
      <c r="C64" s="3" t="s">
        <v>525</v>
      </c>
      <c r="D64" s="4">
        <f t="shared" si="72"/>
        <v>0</v>
      </c>
      <c r="E64" s="4">
        <f t="shared" si="72"/>
        <v>0</v>
      </c>
      <c r="F64" s="4">
        <f t="shared" si="72"/>
        <v>0</v>
      </c>
      <c r="G64" s="4">
        <f t="shared" si="72"/>
        <v>0</v>
      </c>
      <c r="H64" s="4">
        <f>H65</f>
        <v>-10.65</v>
      </c>
      <c r="I64" s="4">
        <f t="shared" si="72"/>
        <v>0</v>
      </c>
      <c r="J64" s="4">
        <f t="shared" si="72"/>
        <v>0</v>
      </c>
      <c r="K64" s="4">
        <f t="shared" si="72"/>
        <v>0</v>
      </c>
      <c r="L64" s="4">
        <f t="shared" si="72"/>
        <v>0</v>
      </c>
      <c r="M64" s="4">
        <f t="shared" si="72"/>
        <v>0</v>
      </c>
      <c r="N64" s="4">
        <f t="shared" si="72"/>
        <v>0</v>
      </c>
      <c r="O64" s="4">
        <f t="shared" si="72"/>
        <v>0</v>
      </c>
      <c r="P64" s="4">
        <f t="shared" si="72"/>
        <v>0</v>
      </c>
      <c r="Q64" s="4">
        <f t="shared" si="2"/>
        <v>0</v>
      </c>
      <c r="R64" s="4">
        <f t="shared" si="72"/>
        <v>0</v>
      </c>
      <c r="S64" s="4">
        <f t="shared" si="72"/>
        <v>-10.65</v>
      </c>
      <c r="T64" s="4">
        <f t="shared" ref="T64" si="75">T65</f>
        <v>0</v>
      </c>
      <c r="U64" s="4">
        <f t="shared" si="4"/>
        <v>-10.65</v>
      </c>
      <c r="V64" s="4">
        <f t="shared" si="5"/>
        <v>-10.65</v>
      </c>
      <c r="W64" s="4">
        <f t="shared" ref="W64:Y64" si="76">W65</f>
        <v>0</v>
      </c>
      <c r="X64" s="67">
        <f t="shared" si="76"/>
        <v>0</v>
      </c>
      <c r="Y64" s="4">
        <f t="shared" si="76"/>
        <v>0</v>
      </c>
      <c r="Z64" s="4">
        <f t="shared" si="7"/>
        <v>-10.65</v>
      </c>
      <c r="AA64" s="5"/>
      <c r="AB64" s="4">
        <f t="shared" si="9"/>
        <v>0</v>
      </c>
      <c r="AC64" s="4">
        <f t="shared" si="10"/>
        <v>100</v>
      </c>
      <c r="AD64" s="25"/>
    </row>
    <row r="65" spans="1:30" s="16" customFormat="1" ht="26.4" x14ac:dyDescent="0.25">
      <c r="A65" s="8" t="s">
        <v>522</v>
      </c>
      <c r="B65" s="2" t="s">
        <v>12</v>
      </c>
      <c r="C65" s="3" t="s">
        <v>523</v>
      </c>
      <c r="D65" s="4">
        <v>0</v>
      </c>
      <c r="E65" s="4">
        <v>0</v>
      </c>
      <c r="F65" s="4">
        <v>0</v>
      </c>
      <c r="G65" s="4">
        <v>0</v>
      </c>
      <c r="H65" s="4">
        <v>-10.65</v>
      </c>
      <c r="I65" s="4">
        <v>0</v>
      </c>
      <c r="J65" s="4"/>
      <c r="K65" s="4">
        <v>0</v>
      </c>
      <c r="L65" s="6">
        <f>I65+J65+K65</f>
        <v>0</v>
      </c>
      <c r="M65" s="4">
        <v>0</v>
      </c>
      <c r="N65" s="4">
        <v>0</v>
      </c>
      <c r="O65" s="4">
        <v>0</v>
      </c>
      <c r="P65" s="6">
        <f>M65+N65+O65</f>
        <v>0</v>
      </c>
      <c r="Q65" s="4">
        <f t="shared" si="2"/>
        <v>0</v>
      </c>
      <c r="R65" s="4">
        <v>0</v>
      </c>
      <c r="S65" s="4">
        <v>-10.65</v>
      </c>
      <c r="T65" s="4">
        <v>0</v>
      </c>
      <c r="U65" s="4">
        <f t="shared" si="4"/>
        <v>-10.65</v>
      </c>
      <c r="V65" s="4">
        <f t="shared" si="5"/>
        <v>-10.65</v>
      </c>
      <c r="W65" s="4">
        <v>0</v>
      </c>
      <c r="X65" s="67">
        <v>0</v>
      </c>
      <c r="Y65" s="4">
        <v>0</v>
      </c>
      <c r="Z65" s="4">
        <f t="shared" si="7"/>
        <v>-10.65</v>
      </c>
      <c r="AA65" s="5"/>
      <c r="AB65" s="4">
        <f t="shared" si="9"/>
        <v>0</v>
      </c>
      <c r="AC65" s="4">
        <f t="shared" si="10"/>
        <v>100</v>
      </c>
      <c r="AD65" s="25"/>
    </row>
    <row r="66" spans="1:30" s="16" customFormat="1" ht="26.4" x14ac:dyDescent="0.25">
      <c r="A66" s="1" t="s">
        <v>435</v>
      </c>
      <c r="B66" s="2" t="s">
        <v>5</v>
      </c>
      <c r="C66" s="3" t="s">
        <v>436</v>
      </c>
      <c r="D66" s="4">
        <f t="shared" ref="D66:T66" si="77">+D67</f>
        <v>0</v>
      </c>
      <c r="E66" s="4">
        <f t="shared" si="77"/>
        <v>0</v>
      </c>
      <c r="F66" s="4">
        <f t="shared" si="77"/>
        <v>0</v>
      </c>
      <c r="G66" s="4">
        <f t="shared" si="77"/>
        <v>0</v>
      </c>
      <c r="H66" s="4">
        <f t="shared" si="77"/>
        <v>0.41</v>
      </c>
      <c r="I66" s="4">
        <f t="shared" si="77"/>
        <v>0</v>
      </c>
      <c r="J66" s="4">
        <f t="shared" si="77"/>
        <v>0.41</v>
      </c>
      <c r="K66" s="4">
        <f t="shared" si="77"/>
        <v>0</v>
      </c>
      <c r="L66" s="4">
        <f t="shared" si="77"/>
        <v>0.41</v>
      </c>
      <c r="M66" s="4">
        <f t="shared" si="77"/>
        <v>0</v>
      </c>
      <c r="N66" s="4">
        <f t="shared" si="77"/>
        <v>0</v>
      </c>
      <c r="O66" s="4">
        <f t="shared" si="77"/>
        <v>0</v>
      </c>
      <c r="P66" s="4">
        <f t="shared" si="77"/>
        <v>0</v>
      </c>
      <c r="Q66" s="4">
        <f t="shared" si="2"/>
        <v>0.41</v>
      </c>
      <c r="R66" s="4">
        <f t="shared" si="77"/>
        <v>0</v>
      </c>
      <c r="S66" s="4">
        <f t="shared" si="77"/>
        <v>0</v>
      </c>
      <c r="T66" s="4">
        <f t="shared" si="77"/>
        <v>0</v>
      </c>
      <c r="U66" s="4">
        <f t="shared" si="4"/>
        <v>0</v>
      </c>
      <c r="V66" s="4">
        <f t="shared" si="5"/>
        <v>0.41</v>
      </c>
      <c r="W66" s="4">
        <f t="shared" ref="W66:Y66" si="78">+W67</f>
        <v>0</v>
      </c>
      <c r="X66" s="67">
        <f t="shared" si="78"/>
        <v>0</v>
      </c>
      <c r="Y66" s="4">
        <f t="shared" si="78"/>
        <v>0</v>
      </c>
      <c r="Z66" s="4">
        <f t="shared" si="7"/>
        <v>0.41</v>
      </c>
      <c r="AA66" s="5"/>
      <c r="AB66" s="4">
        <f t="shared" si="9"/>
        <v>0</v>
      </c>
      <c r="AC66" s="4">
        <f t="shared" si="10"/>
        <v>100</v>
      </c>
      <c r="AD66" s="25"/>
    </row>
    <row r="67" spans="1:30" s="16" customFormat="1" ht="13.2" x14ac:dyDescent="0.25">
      <c r="A67" s="1" t="s">
        <v>437</v>
      </c>
      <c r="B67" s="2" t="s">
        <v>12</v>
      </c>
      <c r="C67" s="3" t="s">
        <v>438</v>
      </c>
      <c r="D67" s="4">
        <v>0</v>
      </c>
      <c r="E67" s="4">
        <v>0</v>
      </c>
      <c r="F67" s="4">
        <v>0</v>
      </c>
      <c r="G67" s="4">
        <v>0</v>
      </c>
      <c r="H67" s="4">
        <v>0.41</v>
      </c>
      <c r="I67" s="4">
        <v>0</v>
      </c>
      <c r="J67" s="4">
        <v>0.41</v>
      </c>
      <c r="K67" s="5">
        <v>0</v>
      </c>
      <c r="L67" s="6">
        <f>I67+J67+K67</f>
        <v>0.41</v>
      </c>
      <c r="M67" s="4">
        <v>0</v>
      </c>
      <c r="N67" s="4">
        <v>0</v>
      </c>
      <c r="O67" s="5">
        <v>0</v>
      </c>
      <c r="P67" s="6">
        <f>M67+N67+O67</f>
        <v>0</v>
      </c>
      <c r="Q67" s="4">
        <f t="shared" si="2"/>
        <v>0.41</v>
      </c>
      <c r="R67" s="5">
        <v>0</v>
      </c>
      <c r="S67" s="5">
        <v>0</v>
      </c>
      <c r="T67" s="5">
        <v>0</v>
      </c>
      <c r="U67" s="4">
        <f t="shared" si="4"/>
        <v>0</v>
      </c>
      <c r="V67" s="4">
        <f t="shared" si="5"/>
        <v>0.41</v>
      </c>
      <c r="W67" s="5">
        <v>0</v>
      </c>
      <c r="X67" s="69">
        <v>0</v>
      </c>
      <c r="Y67" s="5">
        <v>0</v>
      </c>
      <c r="Z67" s="4">
        <f t="shared" si="7"/>
        <v>0.41</v>
      </c>
      <c r="AA67" s="5"/>
      <c r="AB67" s="4">
        <f t="shared" si="9"/>
        <v>0</v>
      </c>
      <c r="AC67" s="4">
        <f t="shared" si="10"/>
        <v>100</v>
      </c>
      <c r="AD67" s="25"/>
    </row>
    <row r="68" spans="1:30" s="16" customFormat="1" ht="39.6" x14ac:dyDescent="0.25">
      <c r="A68" s="97" t="s">
        <v>94</v>
      </c>
      <c r="B68" s="7" t="s">
        <v>5</v>
      </c>
      <c r="C68" s="3" t="s">
        <v>95</v>
      </c>
      <c r="D68" s="4">
        <f t="shared" ref="D68:G68" si="79">+D69+D82+D85+D76</f>
        <v>96005104</v>
      </c>
      <c r="E68" s="4">
        <f t="shared" si="79"/>
        <v>88840920</v>
      </c>
      <c r="F68" s="4">
        <f t="shared" si="79"/>
        <v>88840920</v>
      </c>
      <c r="G68" s="4">
        <f t="shared" si="79"/>
        <v>92541920</v>
      </c>
      <c r="H68" s="4">
        <f>+H69+H82+H85+H76+H79</f>
        <v>100362916.12</v>
      </c>
      <c r="I68" s="4">
        <f t="shared" ref="I68:Z68" si="80">+I69+I82+I85+I76+I79</f>
        <v>6942772.6400000006</v>
      </c>
      <c r="J68" s="4">
        <f t="shared" si="80"/>
        <v>7869205.1500000004</v>
      </c>
      <c r="K68" s="4">
        <f t="shared" si="80"/>
        <v>12370801.640000001</v>
      </c>
      <c r="L68" s="4">
        <f t="shared" si="80"/>
        <v>27182779.43</v>
      </c>
      <c r="M68" s="4">
        <f t="shared" si="80"/>
        <v>11594588.010000002</v>
      </c>
      <c r="N68" s="4">
        <f t="shared" si="80"/>
        <v>5168732.3</v>
      </c>
      <c r="O68" s="4">
        <f t="shared" si="80"/>
        <v>10244109.970000001</v>
      </c>
      <c r="P68" s="4">
        <f t="shared" si="80"/>
        <v>27007430.280000001</v>
      </c>
      <c r="Q68" s="4">
        <f t="shared" si="80"/>
        <v>54190209.710000008</v>
      </c>
      <c r="R68" s="4">
        <f t="shared" si="80"/>
        <v>9879067.8300000001</v>
      </c>
      <c r="S68" s="4">
        <f t="shared" si="80"/>
        <v>8257115.3099999996</v>
      </c>
      <c r="T68" s="4">
        <f t="shared" si="80"/>
        <v>9407096.7100000009</v>
      </c>
      <c r="U68" s="4">
        <f t="shared" si="80"/>
        <v>27543279.850000001</v>
      </c>
      <c r="V68" s="4">
        <f t="shared" si="80"/>
        <v>81733489.560000002</v>
      </c>
      <c r="W68" s="4">
        <f t="shared" si="80"/>
        <v>9072171.3800000008</v>
      </c>
      <c r="X68" s="4">
        <f t="shared" si="80"/>
        <v>7616685.7999999998</v>
      </c>
      <c r="Y68" s="4">
        <f t="shared" si="80"/>
        <v>-1141421.0499999998</v>
      </c>
      <c r="Z68" s="4">
        <f t="shared" si="80"/>
        <v>97280925.689999998</v>
      </c>
      <c r="AA68" s="5">
        <f t="shared" si="8"/>
        <v>81.437938154641174</v>
      </c>
      <c r="AB68" s="4">
        <f t="shared" si="9"/>
        <v>-3081990.4300000072</v>
      </c>
      <c r="AC68" s="4">
        <f t="shared" si="10"/>
        <v>96.929154164557161</v>
      </c>
    </row>
    <row r="69" spans="1:30" s="16" customFormat="1" ht="66" x14ac:dyDescent="0.25">
      <c r="A69" s="19" t="s">
        <v>96</v>
      </c>
      <c r="B69" s="7" t="s">
        <v>5</v>
      </c>
      <c r="C69" s="3" t="s">
        <v>97</v>
      </c>
      <c r="D69" s="4">
        <f t="shared" ref="D69:P69" si="81">D70+D72+D74</f>
        <v>81218573</v>
      </c>
      <c r="E69" s="4">
        <f t="shared" si="81"/>
        <v>74442825</v>
      </c>
      <c r="F69" s="4">
        <f t="shared" si="81"/>
        <v>74442825</v>
      </c>
      <c r="G69" s="4">
        <f t="shared" si="81"/>
        <v>74442825</v>
      </c>
      <c r="H69" s="4">
        <f>H70+H72+H74</f>
        <v>80620825</v>
      </c>
      <c r="I69" s="4">
        <f t="shared" si="81"/>
        <v>5830601.6100000003</v>
      </c>
      <c r="J69" s="4">
        <f t="shared" si="81"/>
        <v>6258880.1100000003</v>
      </c>
      <c r="K69" s="4">
        <f t="shared" si="81"/>
        <v>9947589.0999999996</v>
      </c>
      <c r="L69" s="4">
        <f t="shared" si="81"/>
        <v>22037070.82</v>
      </c>
      <c r="M69" s="4">
        <f t="shared" si="81"/>
        <v>9776024.790000001</v>
      </c>
      <c r="N69" s="4">
        <f t="shared" si="81"/>
        <v>3484628.02</v>
      </c>
      <c r="O69" s="4">
        <f t="shared" si="81"/>
        <v>8528761.8200000003</v>
      </c>
      <c r="P69" s="4">
        <f t="shared" si="81"/>
        <v>21789414.629999999</v>
      </c>
      <c r="Q69" s="4">
        <f t="shared" si="2"/>
        <v>43826485.450000003</v>
      </c>
      <c r="R69" s="4">
        <f t="shared" ref="R69:T69" si="82">R70+R72+R74</f>
        <v>8192553.71</v>
      </c>
      <c r="S69" s="4">
        <f t="shared" si="82"/>
        <v>7013638.0600000005</v>
      </c>
      <c r="T69" s="4">
        <f t="shared" si="82"/>
        <v>8104875.2300000004</v>
      </c>
      <c r="U69" s="4">
        <f t="shared" si="4"/>
        <v>23311067</v>
      </c>
      <c r="V69" s="4">
        <f t="shared" si="5"/>
        <v>67137552.450000003</v>
      </c>
      <c r="W69" s="4">
        <f t="shared" ref="W69:Y69" si="83">W70+W72+W74</f>
        <v>7242662.7800000003</v>
      </c>
      <c r="X69" s="67">
        <f t="shared" si="83"/>
        <v>5948695.75</v>
      </c>
      <c r="Y69" s="4">
        <f t="shared" si="83"/>
        <v>-3157949.59</v>
      </c>
      <c r="Z69" s="4">
        <f t="shared" si="7"/>
        <v>77170961.390000001</v>
      </c>
      <c r="AA69" s="5">
        <f t="shared" si="8"/>
        <v>83.275695144523766</v>
      </c>
      <c r="AB69" s="4">
        <f t="shared" si="9"/>
        <v>-3449863.6099999994</v>
      </c>
      <c r="AC69" s="4">
        <f t="shared" si="10"/>
        <v>95.720877812897598</v>
      </c>
    </row>
    <row r="70" spans="1:30" s="16" customFormat="1" ht="52.8" x14ac:dyDescent="0.25">
      <c r="A70" s="19" t="s">
        <v>98</v>
      </c>
      <c r="B70" s="7" t="s">
        <v>5</v>
      </c>
      <c r="C70" s="3" t="s">
        <v>99</v>
      </c>
      <c r="D70" s="4">
        <f t="shared" ref="D70:T70" si="84">+D71</f>
        <v>66453752</v>
      </c>
      <c r="E70" s="4">
        <f t="shared" si="84"/>
        <v>59678004</v>
      </c>
      <c r="F70" s="4">
        <f t="shared" si="84"/>
        <v>59678004</v>
      </c>
      <c r="G70" s="4">
        <f t="shared" si="84"/>
        <v>59678004</v>
      </c>
      <c r="H70" s="4">
        <f t="shared" si="84"/>
        <v>63206004</v>
      </c>
      <c r="I70" s="4">
        <f t="shared" si="84"/>
        <v>4682410.4000000004</v>
      </c>
      <c r="J70" s="4">
        <f t="shared" si="84"/>
        <v>5111165.6100000003</v>
      </c>
      <c r="K70" s="4">
        <f t="shared" si="84"/>
        <v>9014917.4399999995</v>
      </c>
      <c r="L70" s="4">
        <f t="shared" si="84"/>
        <v>18808493.450000003</v>
      </c>
      <c r="M70" s="4">
        <f t="shared" si="84"/>
        <v>8295059.7000000002</v>
      </c>
      <c r="N70" s="4">
        <f t="shared" si="84"/>
        <v>2525757.7200000002</v>
      </c>
      <c r="O70" s="4">
        <f t="shared" si="84"/>
        <v>6097561.8899999997</v>
      </c>
      <c r="P70" s="4">
        <f t="shared" si="84"/>
        <v>16918379.309999999</v>
      </c>
      <c r="Q70" s="4">
        <f t="shared" si="2"/>
        <v>35726872.760000005</v>
      </c>
      <c r="R70" s="4">
        <f t="shared" si="84"/>
        <v>6337525.2699999996</v>
      </c>
      <c r="S70" s="4">
        <f t="shared" si="84"/>
        <v>5871845.5099999998</v>
      </c>
      <c r="T70" s="4">
        <f t="shared" si="84"/>
        <v>6767643.7000000002</v>
      </c>
      <c r="U70" s="4">
        <f t="shared" si="4"/>
        <v>18977014.48</v>
      </c>
      <c r="V70" s="4">
        <f t="shared" si="5"/>
        <v>54703887.24000001</v>
      </c>
      <c r="W70" s="4">
        <f t="shared" ref="W70:Y70" si="85">+W71</f>
        <v>5120054.37</v>
      </c>
      <c r="X70" s="67">
        <f t="shared" si="85"/>
        <v>4678405.4800000004</v>
      </c>
      <c r="Y70" s="4">
        <f t="shared" si="85"/>
        <v>-4838791.38</v>
      </c>
      <c r="Z70" s="4">
        <f t="shared" si="7"/>
        <v>59663555.710000001</v>
      </c>
      <c r="AA70" s="5">
        <f t="shared" si="8"/>
        <v>86.548561494252993</v>
      </c>
      <c r="AB70" s="4">
        <f t="shared" si="9"/>
        <v>-3542448.2899999991</v>
      </c>
      <c r="AC70" s="4">
        <f t="shared" si="10"/>
        <v>94.395392738322769</v>
      </c>
    </row>
    <row r="71" spans="1:30" s="16" customFormat="1" ht="66" x14ac:dyDescent="0.25">
      <c r="A71" s="19" t="s">
        <v>100</v>
      </c>
      <c r="B71" s="7" t="s">
        <v>87</v>
      </c>
      <c r="C71" s="3" t="s">
        <v>101</v>
      </c>
      <c r="D71" s="4">
        <v>66453752</v>
      </c>
      <c r="E71" s="4">
        <v>59678004</v>
      </c>
      <c r="F71" s="4">
        <v>59678004</v>
      </c>
      <c r="G71" s="4">
        <v>59678004</v>
      </c>
      <c r="H71" s="4">
        <v>63206004</v>
      </c>
      <c r="I71" s="4">
        <v>4682410.4000000004</v>
      </c>
      <c r="J71" s="4">
        <v>5111165.6100000003</v>
      </c>
      <c r="K71" s="4">
        <v>9014917.4399999995</v>
      </c>
      <c r="L71" s="4">
        <f>I71+J71+K71</f>
        <v>18808493.450000003</v>
      </c>
      <c r="M71" s="4">
        <v>8295059.7000000002</v>
      </c>
      <c r="N71" s="4">
        <v>2525757.7200000002</v>
      </c>
      <c r="O71" s="4">
        <v>6097561.8899999997</v>
      </c>
      <c r="P71" s="4">
        <f>M71+N71+O71</f>
        <v>16918379.309999999</v>
      </c>
      <c r="Q71" s="4">
        <f t="shared" si="2"/>
        <v>35726872.760000005</v>
      </c>
      <c r="R71" s="4">
        <v>6337525.2699999996</v>
      </c>
      <c r="S71" s="4">
        <v>5871845.5099999998</v>
      </c>
      <c r="T71" s="4">
        <v>6767643.7000000002</v>
      </c>
      <c r="U71" s="4">
        <f t="shared" si="4"/>
        <v>18977014.48</v>
      </c>
      <c r="V71" s="4">
        <f t="shared" si="5"/>
        <v>54703887.24000001</v>
      </c>
      <c r="W71" s="4">
        <v>5120054.37</v>
      </c>
      <c r="X71" s="67">
        <v>4678405.4800000004</v>
      </c>
      <c r="Y71" s="4">
        <v>-4838791.38</v>
      </c>
      <c r="Z71" s="4">
        <f t="shared" si="7"/>
        <v>59663555.710000001</v>
      </c>
      <c r="AA71" s="5">
        <f t="shared" si="8"/>
        <v>86.548561494252993</v>
      </c>
      <c r="AB71" s="4">
        <f t="shared" si="9"/>
        <v>-3542448.2899999991</v>
      </c>
      <c r="AC71" s="4">
        <f t="shared" si="10"/>
        <v>94.395392738322769</v>
      </c>
    </row>
    <row r="72" spans="1:30" s="16" customFormat="1" ht="66" x14ac:dyDescent="0.25">
      <c r="A72" s="19" t="s">
        <v>102</v>
      </c>
      <c r="B72" s="7" t="s">
        <v>5</v>
      </c>
      <c r="C72" s="3" t="s">
        <v>103</v>
      </c>
      <c r="D72" s="4">
        <f t="shared" ref="D72:T72" si="86">+D73</f>
        <v>8178429</v>
      </c>
      <c r="E72" s="4">
        <f t="shared" si="86"/>
        <v>8178429</v>
      </c>
      <c r="F72" s="4">
        <f t="shared" si="86"/>
        <v>8178429</v>
      </c>
      <c r="G72" s="4">
        <f t="shared" si="86"/>
        <v>8178429</v>
      </c>
      <c r="H72" s="4">
        <f>+H73</f>
        <v>10828429</v>
      </c>
      <c r="I72" s="4">
        <f t="shared" si="86"/>
        <v>778806.89</v>
      </c>
      <c r="J72" s="4">
        <f t="shared" si="86"/>
        <v>692541.28</v>
      </c>
      <c r="K72" s="4">
        <f t="shared" si="86"/>
        <v>479423.57</v>
      </c>
      <c r="L72" s="4">
        <f t="shared" si="86"/>
        <v>1950771.74</v>
      </c>
      <c r="M72" s="4">
        <f t="shared" si="86"/>
        <v>883234.59</v>
      </c>
      <c r="N72" s="4">
        <f t="shared" si="86"/>
        <v>537406.59</v>
      </c>
      <c r="O72" s="4">
        <f t="shared" si="86"/>
        <v>1986597.43</v>
      </c>
      <c r="P72" s="4">
        <f t="shared" si="86"/>
        <v>3407238.61</v>
      </c>
      <c r="Q72" s="4">
        <f t="shared" si="2"/>
        <v>5358010.3499999996</v>
      </c>
      <c r="R72" s="4">
        <f t="shared" si="86"/>
        <v>1328829.98</v>
      </c>
      <c r="S72" s="4">
        <f t="shared" si="86"/>
        <v>610128.03</v>
      </c>
      <c r="T72" s="4">
        <f t="shared" si="86"/>
        <v>845367.9</v>
      </c>
      <c r="U72" s="4">
        <f t="shared" si="4"/>
        <v>2784325.91</v>
      </c>
      <c r="V72" s="4">
        <f t="shared" si="5"/>
        <v>8142336.2599999998</v>
      </c>
      <c r="W72" s="4">
        <f t="shared" ref="W72:Y72" si="87">+W73</f>
        <v>1122330.5900000001</v>
      </c>
      <c r="X72" s="67">
        <f t="shared" si="87"/>
        <v>757971.44</v>
      </c>
      <c r="Y72" s="4">
        <f t="shared" si="87"/>
        <v>1221613.79</v>
      </c>
      <c r="Z72" s="4">
        <f t="shared" si="7"/>
        <v>11244252.079999998</v>
      </c>
      <c r="AA72" s="5">
        <f t="shared" si="8"/>
        <v>75.19406794836074</v>
      </c>
      <c r="AB72" s="4">
        <f t="shared" si="9"/>
        <v>415823.07999999821</v>
      </c>
      <c r="AC72" s="4">
        <f t="shared" si="10"/>
        <v>103.84010533753325</v>
      </c>
    </row>
    <row r="73" spans="1:30" s="16" customFormat="1" ht="66" x14ac:dyDescent="0.25">
      <c r="A73" s="19" t="s">
        <v>104</v>
      </c>
      <c r="B73" s="7" t="s">
        <v>87</v>
      </c>
      <c r="C73" s="3" t="s">
        <v>105</v>
      </c>
      <c r="D73" s="4">
        <v>8178429</v>
      </c>
      <c r="E73" s="4">
        <v>8178429</v>
      </c>
      <c r="F73" s="4">
        <v>8178429</v>
      </c>
      <c r="G73" s="4">
        <v>8178429</v>
      </c>
      <c r="H73" s="4">
        <v>10828429</v>
      </c>
      <c r="I73" s="4">
        <v>778806.89</v>
      </c>
      <c r="J73" s="4">
        <v>692541.28</v>
      </c>
      <c r="K73" s="4">
        <v>479423.57</v>
      </c>
      <c r="L73" s="4">
        <f>I73+J73+K73</f>
        <v>1950771.74</v>
      </c>
      <c r="M73" s="4">
        <v>883234.59</v>
      </c>
      <c r="N73" s="4">
        <v>537406.59</v>
      </c>
      <c r="O73" s="4">
        <v>1986597.43</v>
      </c>
      <c r="P73" s="4">
        <f>M73+N73+O73</f>
        <v>3407238.61</v>
      </c>
      <c r="Q73" s="4">
        <f t="shared" si="2"/>
        <v>5358010.3499999996</v>
      </c>
      <c r="R73" s="4">
        <v>1328829.98</v>
      </c>
      <c r="S73" s="4">
        <v>610128.03</v>
      </c>
      <c r="T73" s="4">
        <v>845367.9</v>
      </c>
      <c r="U73" s="4">
        <f t="shared" si="4"/>
        <v>2784325.91</v>
      </c>
      <c r="V73" s="4">
        <f t="shared" si="5"/>
        <v>8142336.2599999998</v>
      </c>
      <c r="W73" s="4">
        <v>1122330.5900000001</v>
      </c>
      <c r="X73" s="67">
        <v>757971.44</v>
      </c>
      <c r="Y73" s="4">
        <v>1221613.79</v>
      </c>
      <c r="Z73" s="4">
        <f t="shared" si="7"/>
        <v>11244252.079999998</v>
      </c>
      <c r="AA73" s="5">
        <f t="shared" si="8"/>
        <v>75.19406794836074</v>
      </c>
      <c r="AB73" s="4">
        <f t="shared" si="9"/>
        <v>415823.07999999821</v>
      </c>
      <c r="AC73" s="4">
        <f t="shared" si="10"/>
        <v>103.84010533753325</v>
      </c>
    </row>
    <row r="74" spans="1:30" s="16" customFormat="1" ht="39.6" x14ac:dyDescent="0.25">
      <c r="A74" s="19" t="s">
        <v>106</v>
      </c>
      <c r="B74" s="7" t="s">
        <v>5</v>
      </c>
      <c r="C74" s="3" t="s">
        <v>107</v>
      </c>
      <c r="D74" s="4">
        <f t="shared" ref="D74:T74" si="88">+D75</f>
        <v>6586392</v>
      </c>
      <c r="E74" s="4">
        <f t="shared" si="88"/>
        <v>6586392</v>
      </c>
      <c r="F74" s="4">
        <f t="shared" si="88"/>
        <v>6586392</v>
      </c>
      <c r="G74" s="4">
        <f t="shared" si="88"/>
        <v>6586392</v>
      </c>
      <c r="H74" s="4">
        <f>+H75</f>
        <v>6586392</v>
      </c>
      <c r="I74" s="4">
        <f t="shared" si="88"/>
        <v>369384.32</v>
      </c>
      <c r="J74" s="4">
        <f t="shared" si="88"/>
        <v>455173.22</v>
      </c>
      <c r="K74" s="4">
        <f t="shared" si="88"/>
        <v>453248.09</v>
      </c>
      <c r="L74" s="4">
        <f t="shared" si="88"/>
        <v>1277805.6300000001</v>
      </c>
      <c r="M74" s="4">
        <f t="shared" si="88"/>
        <v>597730.5</v>
      </c>
      <c r="N74" s="4">
        <f t="shared" si="88"/>
        <v>421463.71</v>
      </c>
      <c r="O74" s="4">
        <f t="shared" si="88"/>
        <v>444602.5</v>
      </c>
      <c r="P74" s="4">
        <f t="shared" si="88"/>
        <v>1463796.71</v>
      </c>
      <c r="Q74" s="4">
        <f t="shared" si="2"/>
        <v>2741602.34</v>
      </c>
      <c r="R74" s="4">
        <f t="shared" si="88"/>
        <v>526198.46</v>
      </c>
      <c r="S74" s="4">
        <f t="shared" si="88"/>
        <v>531664.52</v>
      </c>
      <c r="T74" s="4">
        <f t="shared" si="88"/>
        <v>491863.63</v>
      </c>
      <c r="U74" s="4">
        <f t="shared" si="4"/>
        <v>1549726.6099999999</v>
      </c>
      <c r="V74" s="4">
        <f t="shared" si="5"/>
        <v>4291328.9499999993</v>
      </c>
      <c r="W74" s="4">
        <f t="shared" ref="W74:Y74" si="89">+W75</f>
        <v>1000277.82</v>
      </c>
      <c r="X74" s="67">
        <f t="shared" si="89"/>
        <v>512318.83</v>
      </c>
      <c r="Y74" s="4">
        <f t="shared" si="89"/>
        <v>459228</v>
      </c>
      <c r="Z74" s="4">
        <f t="shared" si="7"/>
        <v>6263153.5999999996</v>
      </c>
      <c r="AA74" s="5">
        <f t="shared" si="8"/>
        <v>65.154472281637638</v>
      </c>
      <c r="AB74" s="4">
        <f t="shared" si="9"/>
        <v>-323238.40000000037</v>
      </c>
      <c r="AC74" s="4">
        <f t="shared" si="10"/>
        <v>95.092329761119586</v>
      </c>
    </row>
    <row r="75" spans="1:30" s="16" customFormat="1" ht="26.4" x14ac:dyDescent="0.25">
      <c r="A75" s="19" t="s">
        <v>108</v>
      </c>
      <c r="B75" s="7" t="s">
        <v>87</v>
      </c>
      <c r="C75" s="3" t="s">
        <v>109</v>
      </c>
      <c r="D75" s="4">
        <v>6586392</v>
      </c>
      <c r="E75" s="4">
        <v>6586392</v>
      </c>
      <c r="F75" s="4">
        <v>6586392</v>
      </c>
      <c r="G75" s="4">
        <v>6586392</v>
      </c>
      <c r="H75" s="4">
        <v>6586392</v>
      </c>
      <c r="I75" s="4">
        <v>369384.32</v>
      </c>
      <c r="J75" s="4">
        <v>455173.22</v>
      </c>
      <c r="K75" s="4">
        <v>453248.09</v>
      </c>
      <c r="L75" s="4">
        <f>I75+J75+K75</f>
        <v>1277805.6300000001</v>
      </c>
      <c r="M75" s="4">
        <v>597730.5</v>
      </c>
      <c r="N75" s="4">
        <v>421463.71</v>
      </c>
      <c r="O75" s="4">
        <v>444602.5</v>
      </c>
      <c r="P75" s="4">
        <f>M75+N75+O75</f>
        <v>1463796.71</v>
      </c>
      <c r="Q75" s="4">
        <f t="shared" si="2"/>
        <v>2741602.34</v>
      </c>
      <c r="R75" s="4">
        <v>526198.46</v>
      </c>
      <c r="S75" s="4">
        <v>531664.52</v>
      </c>
      <c r="T75" s="4">
        <v>491863.63</v>
      </c>
      <c r="U75" s="4">
        <f t="shared" si="4"/>
        <v>1549726.6099999999</v>
      </c>
      <c r="V75" s="4">
        <f t="shared" si="5"/>
        <v>4291328.9499999993</v>
      </c>
      <c r="W75" s="4">
        <v>1000277.82</v>
      </c>
      <c r="X75" s="67">
        <v>512318.83</v>
      </c>
      <c r="Y75" s="4">
        <v>459228</v>
      </c>
      <c r="Z75" s="4">
        <f t="shared" si="7"/>
        <v>6263153.5999999996</v>
      </c>
      <c r="AA75" s="5">
        <f t="shared" si="8"/>
        <v>65.154472281637638</v>
      </c>
      <c r="AB75" s="4">
        <f t="shared" si="9"/>
        <v>-323238.40000000037</v>
      </c>
      <c r="AC75" s="4">
        <f t="shared" si="10"/>
        <v>95.092329761119586</v>
      </c>
    </row>
    <row r="76" spans="1:30" s="16" customFormat="1" ht="39.6" x14ac:dyDescent="0.25">
      <c r="A76" s="8" t="s">
        <v>489</v>
      </c>
      <c r="B76" s="7" t="s">
        <v>5</v>
      </c>
      <c r="C76" s="3" t="s">
        <v>452</v>
      </c>
      <c r="D76" s="4">
        <f t="shared" ref="D76:T77" si="90">D77</f>
        <v>0</v>
      </c>
      <c r="E76" s="4">
        <f t="shared" si="90"/>
        <v>33000</v>
      </c>
      <c r="F76" s="4">
        <f t="shared" si="90"/>
        <v>33000</v>
      </c>
      <c r="G76" s="4">
        <f t="shared" si="90"/>
        <v>34000</v>
      </c>
      <c r="H76" s="4">
        <f t="shared" si="90"/>
        <v>35303.120000000003</v>
      </c>
      <c r="I76" s="4">
        <f t="shared" si="90"/>
        <v>0</v>
      </c>
      <c r="J76" s="4">
        <f t="shared" si="90"/>
        <v>3249.36</v>
      </c>
      <c r="K76" s="4">
        <f t="shared" si="90"/>
        <v>29345.96</v>
      </c>
      <c r="L76" s="4">
        <f t="shared" si="90"/>
        <v>32595.32</v>
      </c>
      <c r="M76" s="4">
        <f t="shared" si="90"/>
        <v>541.55999999999995</v>
      </c>
      <c r="N76" s="4">
        <f t="shared" si="90"/>
        <v>541.55999999999995</v>
      </c>
      <c r="O76" s="4">
        <f t="shared" si="90"/>
        <v>541.55999999999995</v>
      </c>
      <c r="P76" s="4">
        <f t="shared" si="90"/>
        <v>1624.6799999999998</v>
      </c>
      <c r="Q76" s="4">
        <f t="shared" si="2"/>
        <v>34220</v>
      </c>
      <c r="R76" s="4">
        <f t="shared" si="90"/>
        <v>541.55999999999995</v>
      </c>
      <c r="S76" s="4">
        <f t="shared" si="90"/>
        <v>541.55999999999995</v>
      </c>
      <c r="T76" s="4">
        <f t="shared" si="90"/>
        <v>0</v>
      </c>
      <c r="U76" s="4">
        <f t="shared" si="4"/>
        <v>1083.1199999999999</v>
      </c>
      <c r="V76" s="4">
        <f t="shared" si="5"/>
        <v>35303.120000000003</v>
      </c>
      <c r="W76" s="4">
        <f t="shared" ref="W76:Y77" si="91">W77</f>
        <v>0</v>
      </c>
      <c r="X76" s="67">
        <f t="shared" si="91"/>
        <v>0</v>
      </c>
      <c r="Y76" s="4">
        <f t="shared" si="91"/>
        <v>0</v>
      </c>
      <c r="Z76" s="4">
        <f t="shared" si="7"/>
        <v>35303.120000000003</v>
      </c>
      <c r="AA76" s="5">
        <f t="shared" si="8"/>
        <v>100</v>
      </c>
      <c r="AB76" s="4">
        <f t="shared" ref="AB76:AB139" si="92">Z76-H76</f>
        <v>0</v>
      </c>
      <c r="AC76" s="4">
        <f t="shared" ref="AC76:AC139" si="93">Z76/H76*100</f>
        <v>100</v>
      </c>
    </row>
    <row r="77" spans="1:30" s="16" customFormat="1" ht="39.6" x14ac:dyDescent="0.25">
      <c r="A77" s="8" t="s">
        <v>451</v>
      </c>
      <c r="B77" s="7" t="s">
        <v>5</v>
      </c>
      <c r="C77" s="3" t="s">
        <v>490</v>
      </c>
      <c r="D77" s="4">
        <f t="shared" si="90"/>
        <v>0</v>
      </c>
      <c r="E77" s="4">
        <f t="shared" si="90"/>
        <v>33000</v>
      </c>
      <c r="F77" s="4">
        <f t="shared" si="90"/>
        <v>33000</v>
      </c>
      <c r="G77" s="4">
        <f t="shared" si="90"/>
        <v>34000</v>
      </c>
      <c r="H77" s="4">
        <f t="shared" si="90"/>
        <v>35303.120000000003</v>
      </c>
      <c r="I77" s="4">
        <f t="shared" si="90"/>
        <v>0</v>
      </c>
      <c r="J77" s="4">
        <f t="shared" si="90"/>
        <v>3249.36</v>
      </c>
      <c r="K77" s="4">
        <f t="shared" si="90"/>
        <v>29345.96</v>
      </c>
      <c r="L77" s="4">
        <f t="shared" si="90"/>
        <v>32595.32</v>
      </c>
      <c r="M77" s="4">
        <f t="shared" si="90"/>
        <v>541.55999999999995</v>
      </c>
      <c r="N77" s="4">
        <f t="shared" si="90"/>
        <v>541.55999999999995</v>
      </c>
      <c r="O77" s="4">
        <f t="shared" si="90"/>
        <v>541.55999999999995</v>
      </c>
      <c r="P77" s="4">
        <f t="shared" si="90"/>
        <v>1624.6799999999998</v>
      </c>
      <c r="Q77" s="4">
        <f t="shared" si="2"/>
        <v>34220</v>
      </c>
      <c r="R77" s="4">
        <f t="shared" si="90"/>
        <v>541.55999999999995</v>
      </c>
      <c r="S77" s="4">
        <f t="shared" si="90"/>
        <v>541.55999999999995</v>
      </c>
      <c r="T77" s="4">
        <f t="shared" si="90"/>
        <v>0</v>
      </c>
      <c r="U77" s="4">
        <f t="shared" ref="U77:U145" si="94">R77+S77+T77</f>
        <v>1083.1199999999999</v>
      </c>
      <c r="V77" s="4">
        <f t="shared" ref="V77:V145" si="95">L77+P77+U77</f>
        <v>35303.120000000003</v>
      </c>
      <c r="W77" s="4">
        <f t="shared" si="91"/>
        <v>0</v>
      </c>
      <c r="X77" s="67">
        <f t="shared" si="91"/>
        <v>0</v>
      </c>
      <c r="Y77" s="4">
        <f t="shared" si="91"/>
        <v>0</v>
      </c>
      <c r="Z77" s="4">
        <f t="shared" ref="Z77:Z145" si="96">L77+P77+U77+W77+X77+Y77</f>
        <v>35303.120000000003</v>
      </c>
      <c r="AA77" s="5">
        <f t="shared" ref="AA77:AA145" si="97">V77/H77*100</f>
        <v>100</v>
      </c>
      <c r="AB77" s="4">
        <f t="shared" si="92"/>
        <v>0</v>
      </c>
      <c r="AC77" s="4">
        <f t="shared" si="93"/>
        <v>100</v>
      </c>
    </row>
    <row r="78" spans="1:30" s="16" customFormat="1" ht="79.2" x14ac:dyDescent="0.25">
      <c r="A78" s="8" t="s">
        <v>449</v>
      </c>
      <c r="B78" s="7" t="s">
        <v>92</v>
      </c>
      <c r="C78" s="3" t="s">
        <v>450</v>
      </c>
      <c r="D78" s="4">
        <v>0</v>
      </c>
      <c r="E78" s="4">
        <v>33000</v>
      </c>
      <c r="F78" s="4">
        <v>33000</v>
      </c>
      <c r="G78" s="4">
        <f>33000+1000</f>
        <v>34000</v>
      </c>
      <c r="H78" s="4">
        <v>35303.120000000003</v>
      </c>
      <c r="I78" s="4">
        <v>0</v>
      </c>
      <c r="J78" s="4">
        <v>3249.36</v>
      </c>
      <c r="K78" s="4">
        <v>29345.96</v>
      </c>
      <c r="L78" s="4">
        <f>I78+J78+K78</f>
        <v>32595.32</v>
      </c>
      <c r="M78" s="4">
        <v>541.55999999999995</v>
      </c>
      <c r="N78" s="4">
        <v>541.55999999999995</v>
      </c>
      <c r="O78" s="4">
        <v>541.55999999999995</v>
      </c>
      <c r="P78" s="4">
        <f>M78+N78+O78</f>
        <v>1624.6799999999998</v>
      </c>
      <c r="Q78" s="4">
        <f t="shared" si="2"/>
        <v>34220</v>
      </c>
      <c r="R78" s="4">
        <v>541.55999999999995</v>
      </c>
      <c r="S78" s="4">
        <v>541.55999999999995</v>
      </c>
      <c r="T78" s="4">
        <v>0</v>
      </c>
      <c r="U78" s="4">
        <f t="shared" si="94"/>
        <v>1083.1199999999999</v>
      </c>
      <c r="V78" s="4">
        <f t="shared" si="95"/>
        <v>35303.120000000003</v>
      </c>
      <c r="W78" s="4">
        <v>0</v>
      </c>
      <c r="X78" s="67">
        <v>0</v>
      </c>
      <c r="Y78" s="4">
        <v>0</v>
      </c>
      <c r="Z78" s="4">
        <f t="shared" si="96"/>
        <v>35303.120000000003</v>
      </c>
      <c r="AA78" s="5">
        <f t="shared" si="97"/>
        <v>100</v>
      </c>
      <c r="AB78" s="4">
        <f t="shared" si="92"/>
        <v>0</v>
      </c>
      <c r="AC78" s="4">
        <f t="shared" si="93"/>
        <v>100</v>
      </c>
    </row>
    <row r="79" spans="1:30" s="16" customFormat="1" ht="52.8" x14ac:dyDescent="0.25">
      <c r="A79" s="86" t="s">
        <v>580</v>
      </c>
      <c r="B79" s="7" t="s">
        <v>5</v>
      </c>
      <c r="C79" s="87" t="s">
        <v>581</v>
      </c>
      <c r="D79" s="4">
        <f>+D80</f>
        <v>1061</v>
      </c>
      <c r="E79" s="4"/>
      <c r="F79" s="4"/>
      <c r="G79" s="4"/>
      <c r="H79" s="4">
        <f>+H80</f>
        <v>1061</v>
      </c>
      <c r="I79" s="4">
        <f t="shared" ref="I79:Z80" si="98">+I80</f>
        <v>0</v>
      </c>
      <c r="J79" s="4">
        <f t="shared" si="98"/>
        <v>0</v>
      </c>
      <c r="K79" s="4">
        <f t="shared" si="98"/>
        <v>0</v>
      </c>
      <c r="L79" s="4">
        <f t="shared" si="98"/>
        <v>0</v>
      </c>
      <c r="M79" s="4">
        <f t="shared" si="98"/>
        <v>0</v>
      </c>
      <c r="N79" s="4">
        <f t="shared" si="98"/>
        <v>0</v>
      </c>
      <c r="O79" s="4">
        <f t="shared" si="98"/>
        <v>0</v>
      </c>
      <c r="P79" s="4">
        <f t="shared" si="98"/>
        <v>0</v>
      </c>
      <c r="Q79" s="4">
        <f t="shared" si="98"/>
        <v>0</v>
      </c>
      <c r="R79" s="4">
        <f t="shared" si="98"/>
        <v>0</v>
      </c>
      <c r="S79" s="4">
        <f t="shared" si="98"/>
        <v>0</v>
      </c>
      <c r="T79" s="4">
        <f t="shared" si="98"/>
        <v>0</v>
      </c>
      <c r="U79" s="4">
        <f t="shared" si="98"/>
        <v>0</v>
      </c>
      <c r="V79" s="4">
        <f t="shared" si="98"/>
        <v>0</v>
      </c>
      <c r="W79" s="4">
        <f t="shared" si="98"/>
        <v>1059.75</v>
      </c>
      <c r="X79" s="4">
        <f t="shared" si="98"/>
        <v>0</v>
      </c>
      <c r="Y79" s="4">
        <f t="shared" si="98"/>
        <v>1.25</v>
      </c>
      <c r="Z79" s="4">
        <f t="shared" si="98"/>
        <v>1061</v>
      </c>
      <c r="AA79" s="5"/>
      <c r="AB79" s="4">
        <f t="shared" si="92"/>
        <v>0</v>
      </c>
      <c r="AC79" s="4">
        <f t="shared" si="93"/>
        <v>100</v>
      </c>
    </row>
    <row r="80" spans="1:30" s="16" customFormat="1" ht="52.8" x14ac:dyDescent="0.25">
      <c r="A80" s="86" t="s">
        <v>582</v>
      </c>
      <c r="B80" s="7" t="s">
        <v>5</v>
      </c>
      <c r="C80" s="87" t="s">
        <v>583</v>
      </c>
      <c r="D80" s="4">
        <f>+D81</f>
        <v>1061</v>
      </c>
      <c r="E80" s="4"/>
      <c r="F80" s="4"/>
      <c r="G80" s="4"/>
      <c r="H80" s="4">
        <f>+H81</f>
        <v>1061</v>
      </c>
      <c r="I80" s="4">
        <f t="shared" si="98"/>
        <v>0</v>
      </c>
      <c r="J80" s="4">
        <f t="shared" si="98"/>
        <v>0</v>
      </c>
      <c r="K80" s="4">
        <f t="shared" si="98"/>
        <v>0</v>
      </c>
      <c r="L80" s="4">
        <f t="shared" si="98"/>
        <v>0</v>
      </c>
      <c r="M80" s="4">
        <f t="shared" si="98"/>
        <v>0</v>
      </c>
      <c r="N80" s="4">
        <f t="shared" si="98"/>
        <v>0</v>
      </c>
      <c r="O80" s="4">
        <f t="shared" si="98"/>
        <v>0</v>
      </c>
      <c r="P80" s="4">
        <f t="shared" si="98"/>
        <v>0</v>
      </c>
      <c r="Q80" s="4">
        <f t="shared" si="98"/>
        <v>0</v>
      </c>
      <c r="R80" s="4">
        <f t="shared" si="98"/>
        <v>0</v>
      </c>
      <c r="S80" s="4">
        <f t="shared" si="98"/>
        <v>0</v>
      </c>
      <c r="T80" s="4">
        <f t="shared" si="98"/>
        <v>0</v>
      </c>
      <c r="U80" s="4">
        <f t="shared" si="98"/>
        <v>0</v>
      </c>
      <c r="V80" s="4">
        <f t="shared" si="98"/>
        <v>0</v>
      </c>
      <c r="W80" s="4">
        <f t="shared" si="98"/>
        <v>1059.75</v>
      </c>
      <c r="X80" s="4">
        <f t="shared" si="98"/>
        <v>0</v>
      </c>
      <c r="Y80" s="4">
        <f t="shared" si="98"/>
        <v>1.25</v>
      </c>
      <c r="Z80" s="4">
        <f t="shared" si="98"/>
        <v>1061</v>
      </c>
      <c r="AA80" s="5"/>
      <c r="AB80" s="4">
        <f t="shared" si="92"/>
        <v>0</v>
      </c>
      <c r="AC80" s="4">
        <f t="shared" si="93"/>
        <v>100</v>
      </c>
    </row>
    <row r="81" spans="1:29" s="16" customFormat="1" ht="132" x14ac:dyDescent="0.25">
      <c r="A81" s="86" t="s">
        <v>584</v>
      </c>
      <c r="B81" s="7" t="s">
        <v>87</v>
      </c>
      <c r="C81" s="87" t="s">
        <v>585</v>
      </c>
      <c r="D81" s="4">
        <v>1061</v>
      </c>
      <c r="E81" s="4"/>
      <c r="F81" s="4"/>
      <c r="G81" s="4"/>
      <c r="H81" s="4">
        <v>1061</v>
      </c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>
        <v>0</v>
      </c>
      <c r="U81" s="4"/>
      <c r="V81" s="4"/>
      <c r="W81" s="4">
        <v>1059.75</v>
      </c>
      <c r="X81" s="67">
        <v>0</v>
      </c>
      <c r="Y81" s="4">
        <v>1.25</v>
      </c>
      <c r="Z81" s="4">
        <f t="shared" si="96"/>
        <v>1061</v>
      </c>
      <c r="AA81" s="5"/>
      <c r="AB81" s="4">
        <f t="shared" si="92"/>
        <v>0</v>
      </c>
      <c r="AC81" s="4">
        <f t="shared" si="93"/>
        <v>100</v>
      </c>
    </row>
    <row r="82" spans="1:29" s="16" customFormat="1" ht="26.4" x14ac:dyDescent="0.25">
      <c r="A82" s="19" t="s">
        <v>110</v>
      </c>
      <c r="B82" s="7" t="s">
        <v>5</v>
      </c>
      <c r="C82" s="3" t="s">
        <v>111</v>
      </c>
      <c r="D82" s="4">
        <f t="shared" ref="D82:T83" si="99">+D83</f>
        <v>24000</v>
      </c>
      <c r="E82" s="4">
        <f t="shared" si="99"/>
        <v>24000</v>
      </c>
      <c r="F82" s="4">
        <f t="shared" si="99"/>
        <v>24000</v>
      </c>
      <c r="G82" s="4">
        <f t="shared" si="99"/>
        <v>24000</v>
      </c>
      <c r="H82" s="4">
        <f t="shared" si="99"/>
        <v>450000</v>
      </c>
      <c r="I82" s="4">
        <f t="shared" si="99"/>
        <v>0</v>
      </c>
      <c r="J82" s="4">
        <f t="shared" si="99"/>
        <v>0</v>
      </c>
      <c r="K82" s="4">
        <f t="shared" si="99"/>
        <v>0</v>
      </c>
      <c r="L82" s="4">
        <f t="shared" si="99"/>
        <v>0</v>
      </c>
      <c r="M82" s="4">
        <f t="shared" si="99"/>
        <v>0</v>
      </c>
      <c r="N82" s="4">
        <f t="shared" si="99"/>
        <v>0</v>
      </c>
      <c r="O82" s="4">
        <f t="shared" si="99"/>
        <v>0</v>
      </c>
      <c r="P82" s="4">
        <f t="shared" si="99"/>
        <v>0</v>
      </c>
      <c r="Q82" s="4">
        <f t="shared" ref="Q82:Q150" si="100">L82+P82</f>
        <v>0</v>
      </c>
      <c r="R82" s="4">
        <f t="shared" si="99"/>
        <v>0</v>
      </c>
      <c r="S82" s="4">
        <f t="shared" si="99"/>
        <v>0</v>
      </c>
      <c r="T82" s="4">
        <f t="shared" si="99"/>
        <v>0</v>
      </c>
      <c r="U82" s="4">
        <f t="shared" si="94"/>
        <v>0</v>
      </c>
      <c r="V82" s="4">
        <f t="shared" si="95"/>
        <v>0</v>
      </c>
      <c r="W82" s="4">
        <f t="shared" ref="W82:Y83" si="101">+W83</f>
        <v>450000</v>
      </c>
      <c r="X82" s="67">
        <f t="shared" si="101"/>
        <v>0</v>
      </c>
      <c r="Y82" s="4">
        <f t="shared" si="101"/>
        <v>0</v>
      </c>
      <c r="Z82" s="4">
        <f t="shared" si="96"/>
        <v>450000</v>
      </c>
      <c r="AA82" s="5">
        <f t="shared" si="97"/>
        <v>0</v>
      </c>
      <c r="AB82" s="4">
        <f t="shared" si="92"/>
        <v>0</v>
      </c>
      <c r="AC82" s="4">
        <f t="shared" si="93"/>
        <v>100</v>
      </c>
    </row>
    <row r="83" spans="1:29" s="16" customFormat="1" ht="39.6" x14ac:dyDescent="0.25">
      <c r="A83" s="19" t="s">
        <v>112</v>
      </c>
      <c r="B83" s="7" t="s">
        <v>5</v>
      </c>
      <c r="C83" s="3" t="s">
        <v>113</v>
      </c>
      <c r="D83" s="4">
        <f t="shared" si="99"/>
        <v>24000</v>
      </c>
      <c r="E83" s="4">
        <f t="shared" si="99"/>
        <v>24000</v>
      </c>
      <c r="F83" s="4">
        <f t="shared" si="99"/>
        <v>24000</v>
      </c>
      <c r="G83" s="4">
        <f t="shared" si="99"/>
        <v>24000</v>
      </c>
      <c r="H83" s="4">
        <f t="shared" si="99"/>
        <v>450000</v>
      </c>
      <c r="I83" s="4">
        <f t="shared" si="99"/>
        <v>0</v>
      </c>
      <c r="J83" s="4">
        <f t="shared" si="99"/>
        <v>0</v>
      </c>
      <c r="K83" s="4">
        <f t="shared" si="99"/>
        <v>0</v>
      </c>
      <c r="L83" s="4">
        <f t="shared" si="99"/>
        <v>0</v>
      </c>
      <c r="M83" s="4">
        <f t="shared" si="99"/>
        <v>0</v>
      </c>
      <c r="N83" s="4">
        <f t="shared" si="99"/>
        <v>0</v>
      </c>
      <c r="O83" s="4">
        <f t="shared" si="99"/>
        <v>0</v>
      </c>
      <c r="P83" s="4">
        <f t="shared" si="99"/>
        <v>0</v>
      </c>
      <c r="Q83" s="4">
        <f t="shared" si="100"/>
        <v>0</v>
      </c>
      <c r="R83" s="4">
        <f t="shared" si="99"/>
        <v>0</v>
      </c>
      <c r="S83" s="4">
        <f t="shared" si="99"/>
        <v>0</v>
      </c>
      <c r="T83" s="4">
        <f t="shared" si="99"/>
        <v>0</v>
      </c>
      <c r="U83" s="4">
        <f t="shared" si="94"/>
        <v>0</v>
      </c>
      <c r="V83" s="4">
        <f t="shared" si="95"/>
        <v>0</v>
      </c>
      <c r="W83" s="4">
        <f t="shared" si="101"/>
        <v>450000</v>
      </c>
      <c r="X83" s="67">
        <f t="shared" si="101"/>
        <v>0</v>
      </c>
      <c r="Y83" s="4">
        <f t="shared" si="101"/>
        <v>0</v>
      </c>
      <c r="Z83" s="4">
        <f t="shared" si="96"/>
        <v>450000</v>
      </c>
      <c r="AA83" s="5">
        <f t="shared" si="97"/>
        <v>0</v>
      </c>
      <c r="AB83" s="4">
        <f t="shared" si="92"/>
        <v>0</v>
      </c>
      <c r="AC83" s="4">
        <f t="shared" si="93"/>
        <v>100</v>
      </c>
    </row>
    <row r="84" spans="1:29" s="16" customFormat="1" ht="39.6" x14ac:dyDescent="0.25">
      <c r="A84" s="19" t="s">
        <v>114</v>
      </c>
      <c r="B84" s="7" t="s">
        <v>87</v>
      </c>
      <c r="C84" s="3" t="s">
        <v>115</v>
      </c>
      <c r="D84" s="4">
        <v>24000</v>
      </c>
      <c r="E84" s="4">
        <v>24000</v>
      </c>
      <c r="F84" s="4">
        <v>24000</v>
      </c>
      <c r="G84" s="4">
        <v>24000</v>
      </c>
      <c r="H84" s="4">
        <v>450000</v>
      </c>
      <c r="I84" s="4">
        <v>0</v>
      </c>
      <c r="J84" s="4">
        <v>0</v>
      </c>
      <c r="K84" s="4">
        <v>0</v>
      </c>
      <c r="L84" s="4">
        <f>I84+J84+K84</f>
        <v>0</v>
      </c>
      <c r="M84" s="4">
        <v>0</v>
      </c>
      <c r="N84" s="4">
        <v>0</v>
      </c>
      <c r="O84" s="4">
        <v>0</v>
      </c>
      <c r="P84" s="4">
        <f>M84+N84+O84</f>
        <v>0</v>
      </c>
      <c r="Q84" s="4">
        <f t="shared" si="100"/>
        <v>0</v>
      </c>
      <c r="R84" s="4">
        <v>0</v>
      </c>
      <c r="S84" s="4">
        <v>0</v>
      </c>
      <c r="T84" s="4">
        <v>0</v>
      </c>
      <c r="U84" s="4">
        <f t="shared" si="94"/>
        <v>0</v>
      </c>
      <c r="V84" s="4">
        <f t="shared" si="95"/>
        <v>0</v>
      </c>
      <c r="W84" s="4">
        <v>450000</v>
      </c>
      <c r="X84" s="67">
        <v>0</v>
      </c>
      <c r="Y84" s="4">
        <v>0</v>
      </c>
      <c r="Z84" s="4">
        <f t="shared" si="96"/>
        <v>450000</v>
      </c>
      <c r="AA84" s="5">
        <f t="shared" si="97"/>
        <v>0</v>
      </c>
      <c r="AB84" s="4">
        <f t="shared" si="92"/>
        <v>0</v>
      </c>
      <c r="AC84" s="4">
        <f t="shared" si="93"/>
        <v>100</v>
      </c>
    </row>
    <row r="85" spans="1:29" s="16" customFormat="1" ht="66" x14ac:dyDescent="0.25">
      <c r="A85" s="19" t="s">
        <v>116</v>
      </c>
      <c r="B85" s="7" t="s">
        <v>5</v>
      </c>
      <c r="C85" s="3" t="s">
        <v>117</v>
      </c>
      <c r="D85" s="4">
        <f t="shared" ref="D85:P85" si="102">+D86+D91</f>
        <v>14762531</v>
      </c>
      <c r="E85" s="4">
        <f t="shared" si="102"/>
        <v>14341095</v>
      </c>
      <c r="F85" s="4">
        <f t="shared" si="102"/>
        <v>14341095</v>
      </c>
      <c r="G85" s="4">
        <f t="shared" si="102"/>
        <v>18041095</v>
      </c>
      <c r="H85" s="4">
        <f t="shared" si="102"/>
        <v>19255727</v>
      </c>
      <c r="I85" s="4">
        <f t="shared" si="102"/>
        <v>1112171.0299999998</v>
      </c>
      <c r="J85" s="4">
        <f t="shared" si="102"/>
        <v>1607075.68</v>
      </c>
      <c r="K85" s="4">
        <f t="shared" si="102"/>
        <v>2393866.58</v>
      </c>
      <c r="L85" s="4">
        <f t="shared" si="102"/>
        <v>5113113.29</v>
      </c>
      <c r="M85" s="4">
        <f t="shared" si="102"/>
        <v>1818021.6600000001</v>
      </c>
      <c r="N85" s="4">
        <f t="shared" si="102"/>
        <v>1683562.7200000002</v>
      </c>
      <c r="O85" s="4">
        <f t="shared" si="102"/>
        <v>1714806.5899999999</v>
      </c>
      <c r="P85" s="4">
        <f t="shared" si="102"/>
        <v>5216390.9700000007</v>
      </c>
      <c r="Q85" s="4">
        <f t="shared" si="100"/>
        <v>10329504.260000002</v>
      </c>
      <c r="R85" s="4">
        <f t="shared" ref="R85:T85" si="103">+R86+R91</f>
        <v>1685972.5599999998</v>
      </c>
      <c r="S85" s="4">
        <f t="shared" si="103"/>
        <v>1242935.69</v>
      </c>
      <c r="T85" s="4">
        <f t="shared" si="103"/>
        <v>1302221.48</v>
      </c>
      <c r="U85" s="4">
        <f t="shared" si="94"/>
        <v>4231129.7300000004</v>
      </c>
      <c r="V85" s="4">
        <f t="shared" si="95"/>
        <v>14560633.990000002</v>
      </c>
      <c r="W85" s="4">
        <f t="shared" ref="W85:Y85" si="104">+W86+W91</f>
        <v>1378448.85</v>
      </c>
      <c r="X85" s="67">
        <f t="shared" si="104"/>
        <v>1667990.05</v>
      </c>
      <c r="Y85" s="4">
        <f t="shared" si="104"/>
        <v>2016527.29</v>
      </c>
      <c r="Z85" s="4">
        <f t="shared" si="96"/>
        <v>19623600.18</v>
      </c>
      <c r="AA85" s="5">
        <f t="shared" si="97"/>
        <v>75.617160494641425</v>
      </c>
      <c r="AB85" s="4">
        <f t="shared" si="92"/>
        <v>367873.1799999997</v>
      </c>
      <c r="AC85" s="4">
        <f t="shared" si="93"/>
        <v>101.91046113190116</v>
      </c>
    </row>
    <row r="86" spans="1:29" s="16" customFormat="1" ht="66" x14ac:dyDescent="0.25">
      <c r="A86" s="19" t="s">
        <v>118</v>
      </c>
      <c r="B86" s="7" t="s">
        <v>5</v>
      </c>
      <c r="C86" s="23" t="s">
        <v>119</v>
      </c>
      <c r="D86" s="4">
        <f t="shared" ref="D86:T87" si="105">+D87</f>
        <v>6150000</v>
      </c>
      <c r="E86" s="4">
        <f t="shared" si="105"/>
        <v>6150000</v>
      </c>
      <c r="F86" s="4">
        <f t="shared" si="105"/>
        <v>6150000</v>
      </c>
      <c r="G86" s="4">
        <f t="shared" si="105"/>
        <v>9850000</v>
      </c>
      <c r="H86" s="4">
        <f t="shared" si="105"/>
        <v>9100000</v>
      </c>
      <c r="I86" s="4">
        <f t="shared" si="105"/>
        <v>570804.27999999991</v>
      </c>
      <c r="J86" s="4">
        <f t="shared" si="105"/>
        <v>761896.37</v>
      </c>
      <c r="K86" s="4">
        <f t="shared" si="105"/>
        <v>961791.40999999992</v>
      </c>
      <c r="L86" s="4">
        <f t="shared" si="105"/>
        <v>2294492.06</v>
      </c>
      <c r="M86" s="4">
        <f t="shared" si="105"/>
        <v>911009.70000000007</v>
      </c>
      <c r="N86" s="4">
        <f t="shared" si="105"/>
        <v>914563.45000000007</v>
      </c>
      <c r="O86" s="4">
        <f t="shared" si="105"/>
        <v>928076.25</v>
      </c>
      <c r="P86" s="4">
        <f t="shared" si="105"/>
        <v>2753649.4000000004</v>
      </c>
      <c r="Q86" s="4">
        <f t="shared" si="100"/>
        <v>5048141.4600000009</v>
      </c>
      <c r="R86" s="4">
        <f t="shared" si="105"/>
        <v>757656.94</v>
      </c>
      <c r="S86" s="4">
        <f t="shared" si="105"/>
        <v>621412.59</v>
      </c>
      <c r="T86" s="4">
        <f t="shared" si="105"/>
        <v>757946.15999999992</v>
      </c>
      <c r="U86" s="4">
        <f t="shared" si="94"/>
        <v>2137015.6899999995</v>
      </c>
      <c r="V86" s="4">
        <f t="shared" si="95"/>
        <v>7185157.1500000004</v>
      </c>
      <c r="W86" s="4">
        <f t="shared" ref="W86:Y87" si="106">+W87</f>
        <v>730995.26</v>
      </c>
      <c r="X86" s="67">
        <f t="shared" si="106"/>
        <v>542812.22</v>
      </c>
      <c r="Y86" s="4">
        <f t="shared" si="106"/>
        <v>778186.84</v>
      </c>
      <c r="Z86" s="4">
        <f t="shared" si="96"/>
        <v>9237151.4700000007</v>
      </c>
      <c r="AA86" s="5">
        <f t="shared" si="97"/>
        <v>78.957770879120886</v>
      </c>
      <c r="AB86" s="4">
        <f t="shared" si="92"/>
        <v>137151.47000000067</v>
      </c>
      <c r="AC86" s="4">
        <f t="shared" si="93"/>
        <v>101.50715901098901</v>
      </c>
    </row>
    <row r="87" spans="1:29" s="16" customFormat="1" ht="66" x14ac:dyDescent="0.25">
      <c r="A87" s="19" t="s">
        <v>120</v>
      </c>
      <c r="B87" s="7" t="s">
        <v>5</v>
      </c>
      <c r="C87" s="3" t="s">
        <v>121</v>
      </c>
      <c r="D87" s="4">
        <f t="shared" si="105"/>
        <v>6150000</v>
      </c>
      <c r="E87" s="4">
        <f t="shared" si="105"/>
        <v>6150000</v>
      </c>
      <c r="F87" s="4">
        <f t="shared" si="105"/>
        <v>6150000</v>
      </c>
      <c r="G87" s="4">
        <f t="shared" si="105"/>
        <v>9850000</v>
      </c>
      <c r="H87" s="4">
        <f t="shared" si="105"/>
        <v>9100000</v>
      </c>
      <c r="I87" s="4">
        <f t="shared" si="105"/>
        <v>570804.27999999991</v>
      </c>
      <c r="J87" s="4">
        <f t="shared" si="105"/>
        <v>761896.37</v>
      </c>
      <c r="K87" s="4">
        <f t="shared" si="105"/>
        <v>961791.40999999992</v>
      </c>
      <c r="L87" s="4">
        <f t="shared" si="105"/>
        <v>2294492.06</v>
      </c>
      <c r="M87" s="4">
        <f t="shared" si="105"/>
        <v>911009.70000000007</v>
      </c>
      <c r="N87" s="4">
        <f t="shared" si="105"/>
        <v>914563.45000000007</v>
      </c>
      <c r="O87" s="4">
        <f t="shared" si="105"/>
        <v>928076.25</v>
      </c>
      <c r="P87" s="4">
        <f t="shared" si="105"/>
        <v>2753649.4000000004</v>
      </c>
      <c r="Q87" s="4">
        <f t="shared" si="100"/>
        <v>5048141.4600000009</v>
      </c>
      <c r="R87" s="4">
        <f t="shared" si="105"/>
        <v>757656.94</v>
      </c>
      <c r="S87" s="4">
        <f t="shared" si="105"/>
        <v>621412.59</v>
      </c>
      <c r="T87" s="4">
        <f t="shared" si="105"/>
        <v>757946.15999999992</v>
      </c>
      <c r="U87" s="4">
        <f t="shared" si="94"/>
        <v>2137015.6899999995</v>
      </c>
      <c r="V87" s="4">
        <f t="shared" si="95"/>
        <v>7185157.1500000004</v>
      </c>
      <c r="W87" s="4">
        <f t="shared" si="106"/>
        <v>730995.26</v>
      </c>
      <c r="X87" s="67">
        <f t="shared" si="106"/>
        <v>542812.22</v>
      </c>
      <c r="Y87" s="4">
        <f t="shared" si="106"/>
        <v>778186.84</v>
      </c>
      <c r="Z87" s="4">
        <f t="shared" si="96"/>
        <v>9237151.4700000007</v>
      </c>
      <c r="AA87" s="5">
        <f t="shared" si="97"/>
        <v>78.957770879120886</v>
      </c>
      <c r="AB87" s="4">
        <f t="shared" si="92"/>
        <v>137151.47000000067</v>
      </c>
      <c r="AC87" s="4">
        <f t="shared" si="93"/>
        <v>101.50715901098901</v>
      </c>
    </row>
    <row r="88" spans="1:29" s="16" customFormat="1" ht="79.2" x14ac:dyDescent="0.25">
      <c r="A88" s="98" t="s">
        <v>122</v>
      </c>
      <c r="B88" s="7" t="s">
        <v>5</v>
      </c>
      <c r="C88" s="3" t="s">
        <v>123</v>
      </c>
      <c r="D88" s="4">
        <f t="shared" ref="D88:P88" si="107">+D89+D90</f>
        <v>6150000</v>
      </c>
      <c r="E88" s="4">
        <f t="shared" si="107"/>
        <v>6150000</v>
      </c>
      <c r="F88" s="4">
        <f t="shared" si="107"/>
        <v>6150000</v>
      </c>
      <c r="G88" s="4">
        <f t="shared" si="107"/>
        <v>9850000</v>
      </c>
      <c r="H88" s="4">
        <f>+H89+H90</f>
        <v>9100000</v>
      </c>
      <c r="I88" s="4">
        <f t="shared" si="107"/>
        <v>570804.27999999991</v>
      </c>
      <c r="J88" s="4">
        <f t="shared" si="107"/>
        <v>761896.37</v>
      </c>
      <c r="K88" s="4">
        <f t="shared" si="107"/>
        <v>961791.40999999992</v>
      </c>
      <c r="L88" s="4">
        <f t="shared" si="107"/>
        <v>2294492.06</v>
      </c>
      <c r="M88" s="4">
        <f t="shared" si="107"/>
        <v>911009.70000000007</v>
      </c>
      <c r="N88" s="4">
        <f t="shared" si="107"/>
        <v>914563.45000000007</v>
      </c>
      <c r="O88" s="4">
        <f t="shared" si="107"/>
        <v>928076.25</v>
      </c>
      <c r="P88" s="4">
        <f t="shared" si="107"/>
        <v>2753649.4000000004</v>
      </c>
      <c r="Q88" s="4">
        <f t="shared" si="100"/>
        <v>5048141.4600000009</v>
      </c>
      <c r="R88" s="4">
        <f t="shared" ref="R88:T88" si="108">+R89+R90</f>
        <v>757656.94</v>
      </c>
      <c r="S88" s="4">
        <f t="shared" si="108"/>
        <v>621412.59</v>
      </c>
      <c r="T88" s="4">
        <f t="shared" si="108"/>
        <v>757946.15999999992</v>
      </c>
      <c r="U88" s="4">
        <f t="shared" si="94"/>
        <v>2137015.6899999995</v>
      </c>
      <c r="V88" s="4">
        <f t="shared" si="95"/>
        <v>7185157.1500000004</v>
      </c>
      <c r="W88" s="4">
        <f t="shared" ref="W88:Y88" si="109">+W89+W90</f>
        <v>730995.26</v>
      </c>
      <c r="X88" s="67">
        <f t="shared" si="109"/>
        <v>542812.22</v>
      </c>
      <c r="Y88" s="4">
        <f t="shared" si="109"/>
        <v>778186.84</v>
      </c>
      <c r="Z88" s="4">
        <f t="shared" si="96"/>
        <v>9237151.4700000007</v>
      </c>
      <c r="AA88" s="5">
        <f t="shared" si="97"/>
        <v>78.957770879120886</v>
      </c>
      <c r="AB88" s="4">
        <f t="shared" si="92"/>
        <v>137151.47000000067</v>
      </c>
      <c r="AC88" s="4">
        <f t="shared" si="93"/>
        <v>101.50715901098901</v>
      </c>
    </row>
    <row r="89" spans="1:29" s="16" customFormat="1" ht="79.2" x14ac:dyDescent="0.25">
      <c r="A89" s="98" t="s">
        <v>124</v>
      </c>
      <c r="B89" s="7" t="s">
        <v>92</v>
      </c>
      <c r="C89" s="3" t="s">
        <v>125</v>
      </c>
      <c r="D89" s="4">
        <v>5800000</v>
      </c>
      <c r="E89" s="4">
        <v>5800000</v>
      </c>
      <c r="F89" s="4">
        <v>5800000</v>
      </c>
      <c r="G89" s="4">
        <f>5800000+3700000</f>
        <v>9500000</v>
      </c>
      <c r="H89" s="4">
        <v>8500000</v>
      </c>
      <c r="I89" s="4">
        <v>557716.46</v>
      </c>
      <c r="J89" s="4">
        <v>723369.62</v>
      </c>
      <c r="K89" s="4">
        <v>913866.35</v>
      </c>
      <c r="L89" s="4">
        <f>I89+J89+K89</f>
        <v>2194952.4300000002</v>
      </c>
      <c r="M89" s="4">
        <v>861759.56</v>
      </c>
      <c r="N89" s="4">
        <v>862875.91</v>
      </c>
      <c r="O89" s="4">
        <v>811040.6</v>
      </c>
      <c r="P89" s="4">
        <f>M89+N89+O89</f>
        <v>2535676.0700000003</v>
      </c>
      <c r="Q89" s="4">
        <f t="shared" si="100"/>
        <v>4730628.5</v>
      </c>
      <c r="R89" s="4">
        <v>685385.7</v>
      </c>
      <c r="S89" s="4">
        <v>578268.88</v>
      </c>
      <c r="T89" s="4">
        <v>718028.19</v>
      </c>
      <c r="U89" s="4">
        <f t="shared" si="94"/>
        <v>1981682.77</v>
      </c>
      <c r="V89" s="4">
        <f t="shared" si="95"/>
        <v>6712311.2699999996</v>
      </c>
      <c r="W89" s="4">
        <v>660850.36</v>
      </c>
      <c r="X89" s="67">
        <v>517624.24</v>
      </c>
      <c r="Y89" s="4">
        <v>744376.87</v>
      </c>
      <c r="Z89" s="4">
        <f t="shared" si="96"/>
        <v>8635162.7400000002</v>
      </c>
      <c r="AA89" s="5">
        <f t="shared" si="97"/>
        <v>78.968367882352936</v>
      </c>
      <c r="AB89" s="4">
        <f t="shared" si="92"/>
        <v>135162.74000000022</v>
      </c>
      <c r="AC89" s="4">
        <f t="shared" si="93"/>
        <v>101.59014988235296</v>
      </c>
    </row>
    <row r="90" spans="1:29" s="16" customFormat="1" ht="79.2" x14ac:dyDescent="0.25">
      <c r="A90" s="98" t="s">
        <v>126</v>
      </c>
      <c r="B90" s="7" t="s">
        <v>92</v>
      </c>
      <c r="C90" s="3" t="s">
        <v>127</v>
      </c>
      <c r="D90" s="4">
        <v>350000</v>
      </c>
      <c r="E90" s="4">
        <v>350000</v>
      </c>
      <c r="F90" s="4">
        <v>350000</v>
      </c>
      <c r="G90" s="4">
        <v>350000</v>
      </c>
      <c r="H90" s="4">
        <v>600000</v>
      </c>
      <c r="I90" s="4">
        <v>13087.82</v>
      </c>
      <c r="J90" s="4">
        <v>38526.75</v>
      </c>
      <c r="K90" s="4">
        <v>47925.06</v>
      </c>
      <c r="L90" s="4">
        <f>I90+J90+K90</f>
        <v>99539.63</v>
      </c>
      <c r="M90" s="4">
        <v>49250.14</v>
      </c>
      <c r="N90" s="4">
        <v>51687.54</v>
      </c>
      <c r="O90" s="4">
        <v>117035.65</v>
      </c>
      <c r="P90" s="4">
        <f>M90+N90+O90</f>
        <v>217973.33</v>
      </c>
      <c r="Q90" s="4">
        <f t="shared" si="100"/>
        <v>317512.95999999996</v>
      </c>
      <c r="R90" s="4">
        <v>72271.240000000005</v>
      </c>
      <c r="S90" s="4">
        <v>43143.71</v>
      </c>
      <c r="T90" s="4">
        <v>39917.97</v>
      </c>
      <c r="U90" s="4">
        <f t="shared" si="94"/>
        <v>155332.92000000001</v>
      </c>
      <c r="V90" s="4">
        <f t="shared" si="95"/>
        <v>472845.88</v>
      </c>
      <c r="W90" s="4">
        <v>70144.899999999994</v>
      </c>
      <c r="X90" s="67">
        <v>25187.98</v>
      </c>
      <c r="Y90" s="4">
        <v>33809.97</v>
      </c>
      <c r="Z90" s="4">
        <f t="shared" si="96"/>
        <v>601988.73</v>
      </c>
      <c r="AA90" s="5">
        <f t="shared" si="97"/>
        <v>78.80764666666667</v>
      </c>
      <c r="AB90" s="4">
        <f t="shared" si="92"/>
        <v>1988.7299999999814</v>
      </c>
      <c r="AC90" s="4">
        <f t="shared" si="93"/>
        <v>100.33145500000001</v>
      </c>
    </row>
    <row r="91" spans="1:29" s="16" customFormat="1" ht="84" customHeight="1" x14ac:dyDescent="0.25">
      <c r="A91" s="98" t="s">
        <v>383</v>
      </c>
      <c r="B91" s="7" t="s">
        <v>5</v>
      </c>
      <c r="C91" s="3" t="s">
        <v>382</v>
      </c>
      <c r="D91" s="4">
        <f t="shared" ref="D91:P91" si="110">+D92+D96+D99</f>
        <v>8612531</v>
      </c>
      <c r="E91" s="4">
        <f t="shared" si="110"/>
        <v>8191095</v>
      </c>
      <c r="F91" s="4">
        <f t="shared" si="110"/>
        <v>8191095</v>
      </c>
      <c r="G91" s="4">
        <f t="shared" si="110"/>
        <v>8191095</v>
      </c>
      <c r="H91" s="4">
        <f>+H92+H96+H99</f>
        <v>10155727</v>
      </c>
      <c r="I91" s="4">
        <f t="shared" si="110"/>
        <v>541366.75</v>
      </c>
      <c r="J91" s="4">
        <f t="shared" si="110"/>
        <v>845179.30999999994</v>
      </c>
      <c r="K91" s="4">
        <f t="shared" si="110"/>
        <v>1432075.1700000002</v>
      </c>
      <c r="L91" s="4">
        <f t="shared" si="110"/>
        <v>2818621.23</v>
      </c>
      <c r="M91" s="4">
        <f t="shared" si="110"/>
        <v>907011.96</v>
      </c>
      <c r="N91" s="4">
        <f t="shared" si="110"/>
        <v>768999.27</v>
      </c>
      <c r="O91" s="4">
        <f t="shared" si="110"/>
        <v>786730.34</v>
      </c>
      <c r="P91" s="4">
        <f t="shared" si="110"/>
        <v>2462741.5700000003</v>
      </c>
      <c r="Q91" s="4">
        <f t="shared" si="100"/>
        <v>5281362.8000000007</v>
      </c>
      <c r="R91" s="4">
        <f>+R92+R96+R99</f>
        <v>928315.61999999988</v>
      </c>
      <c r="S91" s="4">
        <f>+S92+S96+S99</f>
        <v>621523.1</v>
      </c>
      <c r="T91" s="4">
        <f t="shared" ref="T91" si="111">+T92+T96+T99</f>
        <v>544275.32000000007</v>
      </c>
      <c r="U91" s="4">
        <f t="shared" si="94"/>
        <v>2094114.0399999998</v>
      </c>
      <c r="V91" s="4">
        <f t="shared" si="95"/>
        <v>7375476.8400000008</v>
      </c>
      <c r="W91" s="4">
        <f>+W92+W96+W99</f>
        <v>647453.59000000008</v>
      </c>
      <c r="X91" s="67">
        <f>+X92+X96+X99</f>
        <v>1125177.83</v>
      </c>
      <c r="Y91" s="4">
        <f t="shared" ref="Y91" si="112">+Y92+Y96+Y99</f>
        <v>1238340.45</v>
      </c>
      <c r="Z91" s="4">
        <f t="shared" si="96"/>
        <v>10386448.710000001</v>
      </c>
      <c r="AA91" s="5">
        <f t="shared" si="97"/>
        <v>72.62381944689929</v>
      </c>
      <c r="AB91" s="4">
        <f t="shared" si="92"/>
        <v>230721.71000000089</v>
      </c>
      <c r="AC91" s="4">
        <f t="shared" si="93"/>
        <v>102.27183844150203</v>
      </c>
    </row>
    <row r="92" spans="1:29" s="16" customFormat="1" ht="79.2" x14ac:dyDescent="0.25">
      <c r="A92" s="98" t="s">
        <v>384</v>
      </c>
      <c r="B92" s="7" t="s">
        <v>5</v>
      </c>
      <c r="C92" s="3" t="s">
        <v>387</v>
      </c>
      <c r="D92" s="4">
        <f t="shared" ref="D92:G92" si="113">+D93+D94</f>
        <v>4690485</v>
      </c>
      <c r="E92" s="4">
        <f t="shared" si="113"/>
        <v>4690485</v>
      </c>
      <c r="F92" s="4">
        <f t="shared" si="113"/>
        <v>4690485</v>
      </c>
      <c r="G92" s="4">
        <f t="shared" si="113"/>
        <v>4690485</v>
      </c>
      <c r="H92" s="4">
        <f>H93+H94+H95</f>
        <v>5855117</v>
      </c>
      <c r="I92" s="4">
        <f t="shared" ref="I92:T92" si="114">I93+I94</f>
        <v>350233.53</v>
      </c>
      <c r="J92" s="4">
        <f t="shared" si="114"/>
        <v>422436.85</v>
      </c>
      <c r="K92" s="4">
        <f t="shared" si="114"/>
        <v>931711.07000000007</v>
      </c>
      <c r="L92" s="4">
        <f t="shared" si="114"/>
        <v>1704381.45</v>
      </c>
      <c r="M92" s="4">
        <f t="shared" si="114"/>
        <v>387103.58</v>
      </c>
      <c r="N92" s="4">
        <f t="shared" si="114"/>
        <v>381456.75</v>
      </c>
      <c r="O92" s="4">
        <f t="shared" si="114"/>
        <v>421511.18</v>
      </c>
      <c r="P92" s="4">
        <f t="shared" si="114"/>
        <v>1190071.51</v>
      </c>
      <c r="Q92" s="4">
        <f t="shared" si="114"/>
        <v>2894452.96</v>
      </c>
      <c r="R92" s="4">
        <f t="shared" si="114"/>
        <v>583804.46</v>
      </c>
      <c r="S92" s="4">
        <f t="shared" si="114"/>
        <v>268237.13</v>
      </c>
      <c r="T92" s="4">
        <f t="shared" si="114"/>
        <v>300126.40000000002</v>
      </c>
      <c r="U92" s="4">
        <f t="shared" si="94"/>
        <v>1152167.99</v>
      </c>
      <c r="V92" s="4">
        <f t="shared" si="95"/>
        <v>4046620.95</v>
      </c>
      <c r="W92" s="4">
        <f t="shared" ref="W92:Y92" si="115">W93+W94</f>
        <v>386639.74</v>
      </c>
      <c r="X92" s="67">
        <f t="shared" si="115"/>
        <v>614272.37</v>
      </c>
      <c r="Y92" s="4">
        <f t="shared" si="115"/>
        <v>979562.09000000008</v>
      </c>
      <c r="Z92" s="4">
        <f t="shared" si="96"/>
        <v>6027095.1500000004</v>
      </c>
      <c r="AA92" s="5">
        <f t="shared" si="97"/>
        <v>69.112554881482296</v>
      </c>
      <c r="AB92" s="4">
        <f t="shared" si="92"/>
        <v>171978.15000000037</v>
      </c>
      <c r="AC92" s="4">
        <f t="shared" si="93"/>
        <v>102.9372282398456</v>
      </c>
    </row>
    <row r="93" spans="1:29" s="16" customFormat="1" ht="92.4" x14ac:dyDescent="0.25">
      <c r="A93" s="19" t="s">
        <v>390</v>
      </c>
      <c r="B93" s="7" t="s">
        <v>87</v>
      </c>
      <c r="C93" s="3" t="s">
        <v>385</v>
      </c>
      <c r="D93" s="4">
        <v>4690485</v>
      </c>
      <c r="E93" s="4">
        <v>4690485</v>
      </c>
      <c r="F93" s="4">
        <v>4690485</v>
      </c>
      <c r="G93" s="4">
        <v>4690485</v>
      </c>
      <c r="H93" s="4">
        <v>5855117</v>
      </c>
      <c r="I93" s="4">
        <v>349883.53</v>
      </c>
      <c r="J93" s="4">
        <v>420398.42</v>
      </c>
      <c r="K93" s="4">
        <v>925346.76</v>
      </c>
      <c r="L93" s="4">
        <f>I93+J93+K93</f>
        <v>1695628.71</v>
      </c>
      <c r="M93" s="4">
        <v>366452.9</v>
      </c>
      <c r="N93" s="4">
        <v>398032.77</v>
      </c>
      <c r="O93" s="4">
        <v>421246.18</v>
      </c>
      <c r="P93" s="4">
        <f>M93+N93+O93</f>
        <v>1185731.8500000001</v>
      </c>
      <c r="Q93" s="4">
        <f t="shared" si="100"/>
        <v>2881360.56</v>
      </c>
      <c r="R93" s="4">
        <v>577759.96</v>
      </c>
      <c r="S93" s="4">
        <v>268102.58</v>
      </c>
      <c r="T93" s="4">
        <v>300126.40000000002</v>
      </c>
      <c r="U93" s="4">
        <f t="shared" si="94"/>
        <v>1145988.94</v>
      </c>
      <c r="V93" s="4">
        <f t="shared" si="95"/>
        <v>4027349.5</v>
      </c>
      <c r="W93" s="4">
        <v>384794.57</v>
      </c>
      <c r="X93" s="67">
        <v>607605.03</v>
      </c>
      <c r="Y93" s="4">
        <v>967360.68</v>
      </c>
      <c r="Z93" s="4">
        <f t="shared" si="96"/>
        <v>5987109.7800000003</v>
      </c>
      <c r="AA93" s="5">
        <f t="shared" si="97"/>
        <v>68.783416283568712</v>
      </c>
      <c r="AB93" s="4">
        <f t="shared" si="92"/>
        <v>131992.78000000026</v>
      </c>
      <c r="AC93" s="4">
        <f t="shared" si="93"/>
        <v>102.25431498636151</v>
      </c>
    </row>
    <row r="94" spans="1:29" s="16" customFormat="1" ht="105.6" x14ac:dyDescent="0.25">
      <c r="A94" s="19" t="s">
        <v>453</v>
      </c>
      <c r="B94" s="7" t="s">
        <v>87</v>
      </c>
      <c r="C94" s="24" t="s">
        <v>397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350</v>
      </c>
      <c r="J94" s="4">
        <v>2038.43</v>
      </c>
      <c r="K94" s="4">
        <v>6364.31</v>
      </c>
      <c r="L94" s="4">
        <f>I94+J94+K94</f>
        <v>8752.7400000000016</v>
      </c>
      <c r="M94" s="4">
        <v>20650.68</v>
      </c>
      <c r="N94" s="4">
        <v>-16576.02</v>
      </c>
      <c r="O94" s="4">
        <v>265</v>
      </c>
      <c r="P94" s="4">
        <f>M94+N94+O94</f>
        <v>4339.66</v>
      </c>
      <c r="Q94" s="4">
        <f t="shared" si="100"/>
        <v>13092.400000000001</v>
      </c>
      <c r="R94" s="4">
        <v>6044.5</v>
      </c>
      <c r="S94" s="4">
        <v>134.55000000000001</v>
      </c>
      <c r="T94" s="4">
        <v>0</v>
      </c>
      <c r="U94" s="4">
        <f t="shared" si="94"/>
        <v>6179.05</v>
      </c>
      <c r="V94" s="4">
        <f t="shared" si="95"/>
        <v>19271.45</v>
      </c>
      <c r="W94" s="4">
        <v>1845.17</v>
      </c>
      <c r="X94" s="67">
        <v>6667.34</v>
      </c>
      <c r="Y94" s="4">
        <v>12201.41</v>
      </c>
      <c r="Z94" s="4">
        <f t="shared" si="96"/>
        <v>39985.370000000003</v>
      </c>
      <c r="AA94" s="5"/>
      <c r="AB94" s="4">
        <f t="shared" si="92"/>
        <v>39985.370000000003</v>
      </c>
      <c r="AC94" s="4">
        <v>0</v>
      </c>
    </row>
    <row r="95" spans="1:29" s="16" customFormat="1" ht="118.8" x14ac:dyDescent="0.25">
      <c r="A95" s="19" t="s">
        <v>566</v>
      </c>
      <c r="B95" s="7" t="s">
        <v>87</v>
      </c>
      <c r="C95" s="24" t="s">
        <v>526</v>
      </c>
      <c r="D95" s="4"/>
      <c r="E95" s="4"/>
      <c r="F95" s="4"/>
      <c r="G95" s="4"/>
      <c r="H95" s="4">
        <v>0</v>
      </c>
      <c r="I95" s="4"/>
      <c r="J95" s="4"/>
      <c r="K95" s="4"/>
      <c r="L95" s="4"/>
      <c r="M95" s="4"/>
      <c r="N95" s="4"/>
      <c r="O95" s="4"/>
      <c r="P95" s="4"/>
      <c r="Q95" s="4"/>
      <c r="R95" s="4">
        <v>0</v>
      </c>
      <c r="S95" s="4">
        <v>9097.26</v>
      </c>
      <c r="T95" s="4">
        <v>0</v>
      </c>
      <c r="U95" s="4">
        <f t="shared" si="94"/>
        <v>9097.26</v>
      </c>
      <c r="V95" s="4">
        <f t="shared" si="95"/>
        <v>9097.26</v>
      </c>
      <c r="W95" s="4">
        <v>0</v>
      </c>
      <c r="X95" s="67">
        <v>0</v>
      </c>
      <c r="Y95" s="4">
        <v>0</v>
      </c>
      <c r="Z95" s="4">
        <f t="shared" si="96"/>
        <v>9097.26</v>
      </c>
      <c r="AA95" s="5"/>
      <c r="AB95" s="4">
        <f t="shared" si="92"/>
        <v>9097.26</v>
      </c>
      <c r="AC95" s="4">
        <v>0</v>
      </c>
    </row>
    <row r="96" spans="1:29" s="16" customFormat="1" ht="79.2" x14ac:dyDescent="0.25">
      <c r="A96" s="98" t="s">
        <v>384</v>
      </c>
      <c r="B96" s="7" t="s">
        <v>5</v>
      </c>
      <c r="C96" s="3" t="s">
        <v>388</v>
      </c>
      <c r="D96" s="4">
        <f t="shared" ref="D96:G96" si="116">+D97+D98</f>
        <v>2253957</v>
      </c>
      <c r="E96" s="4">
        <f t="shared" si="116"/>
        <v>2253957</v>
      </c>
      <c r="F96" s="4">
        <f t="shared" si="116"/>
        <v>2253957</v>
      </c>
      <c r="G96" s="4">
        <f t="shared" si="116"/>
        <v>2253957</v>
      </c>
      <c r="H96" s="4">
        <f>+H97+H98</f>
        <v>2253957</v>
      </c>
      <c r="I96" s="4">
        <f t="shared" ref="I96:T96" si="117">+I97+I98</f>
        <v>165398.02000000002</v>
      </c>
      <c r="J96" s="4">
        <f t="shared" si="117"/>
        <v>185095.25</v>
      </c>
      <c r="K96" s="4">
        <f t="shared" si="117"/>
        <v>311454.13</v>
      </c>
      <c r="L96" s="4">
        <f t="shared" si="117"/>
        <v>661947.4</v>
      </c>
      <c r="M96" s="4">
        <f t="shared" si="117"/>
        <v>321365.05</v>
      </c>
      <c r="N96" s="4">
        <f t="shared" si="117"/>
        <v>134897.59</v>
      </c>
      <c r="O96" s="4">
        <f t="shared" si="117"/>
        <v>207419.45</v>
      </c>
      <c r="P96" s="4">
        <f t="shared" si="117"/>
        <v>663682.09</v>
      </c>
      <c r="Q96" s="4">
        <f t="shared" si="117"/>
        <v>1325629.49</v>
      </c>
      <c r="R96" s="4">
        <f t="shared" si="117"/>
        <v>238144.43</v>
      </c>
      <c r="S96" s="4">
        <f t="shared" si="117"/>
        <v>94146.82</v>
      </c>
      <c r="T96" s="4">
        <f t="shared" si="117"/>
        <v>130898.49</v>
      </c>
      <c r="U96" s="4">
        <f t="shared" si="94"/>
        <v>463189.74</v>
      </c>
      <c r="V96" s="4">
        <f t="shared" si="95"/>
        <v>1788819.23</v>
      </c>
      <c r="W96" s="4">
        <f t="shared" ref="W96:Y96" si="118">+W97+W98</f>
        <v>170416.32</v>
      </c>
      <c r="X96" s="67">
        <f t="shared" si="118"/>
        <v>108743.3</v>
      </c>
      <c r="Y96" s="4">
        <f t="shared" si="118"/>
        <v>247092.89</v>
      </c>
      <c r="Z96" s="4">
        <f t="shared" si="96"/>
        <v>2315071.7400000002</v>
      </c>
      <c r="AA96" s="5">
        <f t="shared" si="97"/>
        <v>79.363502941715396</v>
      </c>
      <c r="AB96" s="4">
        <f t="shared" si="92"/>
        <v>61114.740000000224</v>
      </c>
      <c r="AC96" s="4">
        <f t="shared" si="93"/>
        <v>102.71144214374988</v>
      </c>
    </row>
    <row r="97" spans="1:29" s="16" customFormat="1" ht="111.6" customHeight="1" x14ac:dyDescent="0.25">
      <c r="A97" s="19" t="s">
        <v>389</v>
      </c>
      <c r="B97" s="7" t="s">
        <v>87</v>
      </c>
      <c r="C97" s="3" t="s">
        <v>386</v>
      </c>
      <c r="D97" s="4">
        <v>2253957</v>
      </c>
      <c r="E97" s="4">
        <v>2253957</v>
      </c>
      <c r="F97" s="4">
        <v>2253957</v>
      </c>
      <c r="G97" s="4">
        <v>2253957</v>
      </c>
      <c r="H97" s="4">
        <v>2253957</v>
      </c>
      <c r="I97" s="4">
        <v>165283.14000000001</v>
      </c>
      <c r="J97" s="4">
        <v>184039.86</v>
      </c>
      <c r="K97" s="4">
        <v>303807.26</v>
      </c>
      <c r="L97" s="4">
        <f>I97+J97+K97</f>
        <v>653130.26</v>
      </c>
      <c r="M97" s="4">
        <v>319165.92</v>
      </c>
      <c r="N97" s="4">
        <v>134590.13</v>
      </c>
      <c r="O97" s="4">
        <v>207397.39</v>
      </c>
      <c r="P97" s="4">
        <f>M97+N97+O97</f>
        <v>661153.43999999994</v>
      </c>
      <c r="Q97" s="4">
        <f t="shared" si="100"/>
        <v>1314283.7</v>
      </c>
      <c r="R97" s="4">
        <v>237961.83</v>
      </c>
      <c r="S97" s="4">
        <v>94146.82</v>
      </c>
      <c r="T97" s="4">
        <v>130832.49</v>
      </c>
      <c r="U97" s="4">
        <f t="shared" si="94"/>
        <v>462941.14</v>
      </c>
      <c r="V97" s="4">
        <f t="shared" si="95"/>
        <v>1777224.8399999999</v>
      </c>
      <c r="W97" s="4">
        <v>170011.25</v>
      </c>
      <c r="X97" s="67">
        <v>107415.81</v>
      </c>
      <c r="Y97" s="4">
        <v>242292.91</v>
      </c>
      <c r="Z97" s="4">
        <f t="shared" si="96"/>
        <v>2296944.81</v>
      </c>
      <c r="AA97" s="5">
        <f t="shared" si="97"/>
        <v>78.849101380372375</v>
      </c>
      <c r="AB97" s="4">
        <f t="shared" si="92"/>
        <v>42987.810000000056</v>
      </c>
      <c r="AC97" s="4">
        <f t="shared" si="93"/>
        <v>101.90721517757437</v>
      </c>
    </row>
    <row r="98" spans="1:29" s="16" customFormat="1" ht="118.8" x14ac:dyDescent="0.25">
      <c r="A98" s="19" t="s">
        <v>455</v>
      </c>
      <c r="B98" s="7" t="s">
        <v>87</v>
      </c>
      <c r="C98" s="24" t="s">
        <v>454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114.88</v>
      </c>
      <c r="J98" s="4">
        <v>1055.3900000000001</v>
      </c>
      <c r="K98" s="4">
        <v>7646.87</v>
      </c>
      <c r="L98" s="4">
        <f>I98+J98+K98</f>
        <v>8817.14</v>
      </c>
      <c r="M98" s="4">
        <v>2199.13</v>
      </c>
      <c r="N98" s="4">
        <v>307.45999999999998</v>
      </c>
      <c r="O98" s="4">
        <v>22.06</v>
      </c>
      <c r="P98" s="4">
        <f>M98+N98+O98</f>
        <v>2528.65</v>
      </c>
      <c r="Q98" s="4">
        <f t="shared" si="100"/>
        <v>11345.789999999999</v>
      </c>
      <c r="R98" s="4">
        <v>182.6</v>
      </c>
      <c r="S98" s="4">
        <v>0</v>
      </c>
      <c r="T98" s="4">
        <v>66</v>
      </c>
      <c r="U98" s="4">
        <f t="shared" si="94"/>
        <v>248.6</v>
      </c>
      <c r="V98" s="4">
        <f t="shared" si="95"/>
        <v>11594.39</v>
      </c>
      <c r="W98" s="4">
        <v>405.07</v>
      </c>
      <c r="X98" s="67">
        <v>1327.49</v>
      </c>
      <c r="Y98" s="4">
        <v>4799.9799999999996</v>
      </c>
      <c r="Z98" s="4">
        <f t="shared" si="96"/>
        <v>18126.93</v>
      </c>
      <c r="AA98" s="5"/>
      <c r="AB98" s="4">
        <f t="shared" si="92"/>
        <v>18126.93</v>
      </c>
      <c r="AC98" s="4">
        <v>0</v>
      </c>
    </row>
    <row r="99" spans="1:29" s="16" customFormat="1" ht="79.2" x14ac:dyDescent="0.25">
      <c r="A99" s="19" t="s">
        <v>384</v>
      </c>
      <c r="B99" s="7" t="s">
        <v>5</v>
      </c>
      <c r="C99" s="24" t="s">
        <v>391</v>
      </c>
      <c r="D99" s="4">
        <f t="shared" ref="D99:G99" si="119">+D100+D101</f>
        <v>1668089</v>
      </c>
      <c r="E99" s="4">
        <f t="shared" si="119"/>
        <v>1246653</v>
      </c>
      <c r="F99" s="4">
        <f t="shared" si="119"/>
        <v>1246653</v>
      </c>
      <c r="G99" s="4">
        <f t="shared" si="119"/>
        <v>1246653</v>
      </c>
      <c r="H99" s="4">
        <f>H100+H101</f>
        <v>2046653</v>
      </c>
      <c r="I99" s="4">
        <f t="shared" ref="I99:T99" si="120">I100+I101+I95</f>
        <v>25735.200000000001</v>
      </c>
      <c r="J99" s="4">
        <f t="shared" si="120"/>
        <v>237647.21</v>
      </c>
      <c r="K99" s="4">
        <f t="shared" si="120"/>
        <v>188909.97</v>
      </c>
      <c r="L99" s="4">
        <f t="shared" si="120"/>
        <v>452292.37999999995</v>
      </c>
      <c r="M99" s="4">
        <f t="shared" si="120"/>
        <v>198543.33000000002</v>
      </c>
      <c r="N99" s="4">
        <f t="shared" si="120"/>
        <v>252644.93000000002</v>
      </c>
      <c r="O99" s="4">
        <f t="shared" si="120"/>
        <v>157799.71</v>
      </c>
      <c r="P99" s="4">
        <f t="shared" si="120"/>
        <v>608987.97</v>
      </c>
      <c r="Q99" s="4">
        <f t="shared" si="120"/>
        <v>1061280.3499999999</v>
      </c>
      <c r="R99" s="4">
        <f t="shared" si="120"/>
        <v>106366.73</v>
      </c>
      <c r="S99" s="4">
        <f t="shared" si="120"/>
        <v>259139.15</v>
      </c>
      <c r="T99" s="4">
        <f t="shared" si="120"/>
        <v>113250.43000000001</v>
      </c>
      <c r="U99" s="4">
        <f t="shared" si="94"/>
        <v>478756.31</v>
      </c>
      <c r="V99" s="4">
        <f t="shared" si="95"/>
        <v>1540036.66</v>
      </c>
      <c r="W99" s="4">
        <f t="shared" ref="W99:Y99" si="121">W100+W101+W95</f>
        <v>90397.53</v>
      </c>
      <c r="X99" s="67">
        <f t="shared" si="121"/>
        <v>402162.16000000003</v>
      </c>
      <c r="Y99" s="4">
        <f t="shared" si="121"/>
        <v>11685.47</v>
      </c>
      <c r="Z99" s="4">
        <f t="shared" si="96"/>
        <v>2044281.82</v>
      </c>
      <c r="AA99" s="5">
        <f t="shared" si="97"/>
        <v>75.246593340444122</v>
      </c>
      <c r="AB99" s="4">
        <f t="shared" si="92"/>
        <v>-2371.1799999999348</v>
      </c>
      <c r="AC99" s="4">
        <f t="shared" si="93"/>
        <v>99.884143526039836</v>
      </c>
    </row>
    <row r="100" spans="1:29" s="16" customFormat="1" ht="92.4" x14ac:dyDescent="0.25">
      <c r="A100" s="19" t="s">
        <v>393</v>
      </c>
      <c r="B100" s="7" t="s">
        <v>87</v>
      </c>
      <c r="C100" s="24" t="s">
        <v>392</v>
      </c>
      <c r="D100" s="4">
        <v>1668089</v>
      </c>
      <c r="E100" s="4">
        <v>1246653</v>
      </c>
      <c r="F100" s="4">
        <v>1246653</v>
      </c>
      <c r="G100" s="4">
        <v>1246653</v>
      </c>
      <c r="H100" s="4">
        <v>2046653</v>
      </c>
      <c r="I100" s="4">
        <v>25662.27</v>
      </c>
      <c r="J100" s="4">
        <v>237627.21</v>
      </c>
      <c r="K100" s="4">
        <v>188841.55</v>
      </c>
      <c r="L100" s="4">
        <f>I100+J100+K100</f>
        <v>452131.02999999997</v>
      </c>
      <c r="M100" s="4">
        <v>198085.82</v>
      </c>
      <c r="N100" s="4">
        <v>250175.67</v>
      </c>
      <c r="O100" s="4">
        <v>153664.69</v>
      </c>
      <c r="P100" s="4">
        <f>M100+N100+O100</f>
        <v>601926.17999999993</v>
      </c>
      <c r="Q100" s="4">
        <f t="shared" si="100"/>
        <v>1054057.21</v>
      </c>
      <c r="R100" s="4">
        <v>105969.67</v>
      </c>
      <c r="S100" s="4">
        <v>250025.11</v>
      </c>
      <c r="T100" s="4">
        <v>112855.86</v>
      </c>
      <c r="U100" s="4">
        <f t="shared" si="94"/>
        <v>468850.63999999996</v>
      </c>
      <c r="V100" s="4">
        <f t="shared" si="95"/>
        <v>1522907.8499999999</v>
      </c>
      <c r="W100" s="4">
        <v>89927.69</v>
      </c>
      <c r="X100" s="67">
        <v>402046.46</v>
      </c>
      <c r="Y100" s="4">
        <v>11110.96</v>
      </c>
      <c r="Z100" s="4">
        <f t="shared" si="96"/>
        <v>2025992.9599999997</v>
      </c>
      <c r="AA100" s="5">
        <f t="shared" si="97"/>
        <v>74.409675211186254</v>
      </c>
      <c r="AB100" s="4">
        <f t="shared" si="92"/>
        <v>-20660.04000000027</v>
      </c>
      <c r="AC100" s="4">
        <f t="shared" si="93"/>
        <v>98.99054505087085</v>
      </c>
    </row>
    <row r="101" spans="1:29" s="16" customFormat="1" ht="92.4" x14ac:dyDescent="0.25">
      <c r="A101" s="19" t="s">
        <v>457</v>
      </c>
      <c r="B101" s="7" t="s">
        <v>87</v>
      </c>
      <c r="C101" s="24" t="s">
        <v>456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72.930000000000007</v>
      </c>
      <c r="J101" s="4">
        <v>20</v>
      </c>
      <c r="K101" s="4">
        <v>68.42</v>
      </c>
      <c r="L101" s="4">
        <f>I101+J101+K101</f>
        <v>161.35000000000002</v>
      </c>
      <c r="M101" s="4">
        <v>457.51</v>
      </c>
      <c r="N101" s="4">
        <v>2469.2600000000002</v>
      </c>
      <c r="O101" s="4">
        <v>4135.0200000000004</v>
      </c>
      <c r="P101" s="4">
        <f t="shared" ref="P101" si="122">M101+N101+O101</f>
        <v>7061.7900000000009</v>
      </c>
      <c r="Q101" s="4">
        <f t="shared" si="100"/>
        <v>7223.1400000000012</v>
      </c>
      <c r="R101" s="4">
        <v>397.06</v>
      </c>
      <c r="S101" s="4">
        <v>16.78</v>
      </c>
      <c r="T101" s="4">
        <v>394.57</v>
      </c>
      <c r="U101" s="4">
        <f t="shared" si="94"/>
        <v>808.41000000000008</v>
      </c>
      <c r="V101" s="4">
        <f t="shared" si="95"/>
        <v>8031.5500000000011</v>
      </c>
      <c r="W101" s="4">
        <v>469.84</v>
      </c>
      <c r="X101" s="67">
        <v>115.7</v>
      </c>
      <c r="Y101" s="4">
        <v>574.51</v>
      </c>
      <c r="Z101" s="4">
        <f t="shared" si="96"/>
        <v>9191.6000000000022</v>
      </c>
      <c r="AA101" s="5"/>
      <c r="AB101" s="4">
        <f t="shared" si="92"/>
        <v>9191.6000000000022</v>
      </c>
      <c r="AC101" s="4">
        <v>0</v>
      </c>
    </row>
    <row r="102" spans="1:29" s="16" customFormat="1" ht="13.2" x14ac:dyDescent="0.25">
      <c r="A102" s="1" t="s">
        <v>128</v>
      </c>
      <c r="B102" s="7" t="s">
        <v>5</v>
      </c>
      <c r="C102" s="3" t="s">
        <v>129</v>
      </c>
      <c r="D102" s="4">
        <f t="shared" ref="D102:P102" si="123">+D103+D110</f>
        <v>16070385</v>
      </c>
      <c r="E102" s="4">
        <f t="shared" si="123"/>
        <v>16070385</v>
      </c>
      <c r="F102" s="4">
        <f t="shared" si="123"/>
        <v>16070385</v>
      </c>
      <c r="G102" s="4">
        <f t="shared" si="123"/>
        <v>16892105</v>
      </c>
      <c r="H102" s="4">
        <f t="shared" si="123"/>
        <v>25000000</v>
      </c>
      <c r="I102" s="4">
        <f t="shared" si="123"/>
        <v>71723.570000000007</v>
      </c>
      <c r="J102" s="4">
        <f t="shared" si="123"/>
        <v>5978057.4499999993</v>
      </c>
      <c r="K102" s="4">
        <f t="shared" si="123"/>
        <v>1454768.8699999999</v>
      </c>
      <c r="L102" s="4">
        <f t="shared" si="123"/>
        <v>7504549.8899999987</v>
      </c>
      <c r="M102" s="4">
        <f t="shared" si="123"/>
        <v>3721453.25</v>
      </c>
      <c r="N102" s="4">
        <f t="shared" si="123"/>
        <v>45721.66</v>
      </c>
      <c r="O102" s="4">
        <f t="shared" si="123"/>
        <v>20896</v>
      </c>
      <c r="P102" s="4">
        <f t="shared" si="123"/>
        <v>3788070.91</v>
      </c>
      <c r="Q102" s="4">
        <f t="shared" si="100"/>
        <v>11292620.799999999</v>
      </c>
      <c r="R102" s="4">
        <f t="shared" ref="R102:T102" si="124">+R103+R110</f>
        <v>3861323.7899999996</v>
      </c>
      <c r="S102" s="4">
        <f t="shared" si="124"/>
        <v>47631.26</v>
      </c>
      <c r="T102" s="4">
        <f t="shared" si="124"/>
        <v>22865.910000000003</v>
      </c>
      <c r="U102" s="4">
        <f t="shared" si="94"/>
        <v>3931820.9599999995</v>
      </c>
      <c r="V102" s="4">
        <f t="shared" si="95"/>
        <v>15224441.759999998</v>
      </c>
      <c r="W102" s="4">
        <f t="shared" ref="W102:Y102" si="125">+W103+W110</f>
        <v>9393386.3300000001</v>
      </c>
      <c r="X102" s="67">
        <f t="shared" si="125"/>
        <v>31454.22</v>
      </c>
      <c r="Y102" s="4">
        <f t="shared" si="125"/>
        <v>271541.18</v>
      </c>
      <c r="Z102" s="4">
        <f t="shared" si="96"/>
        <v>24920823.489999995</v>
      </c>
      <c r="AA102" s="5">
        <f t="shared" si="97"/>
        <v>60.897767039999998</v>
      </c>
      <c r="AB102" s="4">
        <f t="shared" si="92"/>
        <v>-79176.510000005364</v>
      </c>
      <c r="AC102" s="4">
        <f t="shared" si="93"/>
        <v>99.683293959999972</v>
      </c>
    </row>
    <row r="103" spans="1:29" s="16" customFormat="1" ht="13.2" x14ac:dyDescent="0.25">
      <c r="A103" s="19" t="s">
        <v>130</v>
      </c>
      <c r="B103" s="7" t="s">
        <v>5</v>
      </c>
      <c r="C103" s="3" t="s">
        <v>131</v>
      </c>
      <c r="D103" s="27">
        <f t="shared" ref="D103:P103" si="126">+D104+D105+D106+D109</f>
        <v>15636000</v>
      </c>
      <c r="E103" s="27">
        <f t="shared" si="126"/>
        <v>15636000</v>
      </c>
      <c r="F103" s="27">
        <f t="shared" si="126"/>
        <v>15636000</v>
      </c>
      <c r="G103" s="27">
        <f t="shared" si="126"/>
        <v>16457720</v>
      </c>
      <c r="H103" s="27">
        <f t="shared" si="126"/>
        <v>24565615</v>
      </c>
      <c r="I103" s="27">
        <f t="shared" si="126"/>
        <v>3141.0800000000004</v>
      </c>
      <c r="J103" s="27">
        <f t="shared" si="126"/>
        <v>5978057.4499999993</v>
      </c>
      <c r="K103" s="27">
        <f t="shared" si="126"/>
        <v>1454768.8699999999</v>
      </c>
      <c r="L103" s="27">
        <f t="shared" si="126"/>
        <v>7435967.3999999985</v>
      </c>
      <c r="M103" s="27">
        <f t="shared" si="126"/>
        <v>3648592.42</v>
      </c>
      <c r="N103" s="27">
        <f t="shared" si="126"/>
        <v>0</v>
      </c>
      <c r="O103" s="27">
        <f t="shared" si="126"/>
        <v>896</v>
      </c>
      <c r="P103" s="27">
        <f t="shared" si="126"/>
        <v>3649488.42</v>
      </c>
      <c r="Q103" s="4">
        <f t="shared" si="100"/>
        <v>11085455.819999998</v>
      </c>
      <c r="R103" s="27">
        <f t="shared" ref="R103:T103" si="127">+R104+R105+R106+R109</f>
        <v>3818462.9599999995</v>
      </c>
      <c r="S103" s="27">
        <f t="shared" si="127"/>
        <v>4770.43</v>
      </c>
      <c r="T103" s="27">
        <f t="shared" si="127"/>
        <v>5.08</v>
      </c>
      <c r="U103" s="4">
        <f t="shared" si="94"/>
        <v>3823238.4699999997</v>
      </c>
      <c r="V103" s="4">
        <f t="shared" si="95"/>
        <v>14908694.289999999</v>
      </c>
      <c r="W103" s="27">
        <f t="shared" ref="W103:Y103" si="128">+W104+W105+W106+W109</f>
        <v>9343849.5999999996</v>
      </c>
      <c r="X103" s="70">
        <f t="shared" si="128"/>
        <v>18116.27</v>
      </c>
      <c r="Y103" s="27">
        <f t="shared" si="128"/>
        <v>212453.03</v>
      </c>
      <c r="Z103" s="4">
        <f t="shared" si="96"/>
        <v>24483113.190000001</v>
      </c>
      <c r="AA103" s="5">
        <f t="shared" si="97"/>
        <v>60.689277634612438</v>
      </c>
      <c r="AB103" s="4">
        <f t="shared" si="92"/>
        <v>-82501.809999998659</v>
      </c>
      <c r="AC103" s="4">
        <f t="shared" si="93"/>
        <v>99.664157359789286</v>
      </c>
    </row>
    <row r="104" spans="1:29" s="16" customFormat="1" ht="26.4" x14ac:dyDescent="0.25">
      <c r="A104" s="19" t="s">
        <v>132</v>
      </c>
      <c r="B104" s="7" t="s">
        <v>133</v>
      </c>
      <c r="C104" s="3" t="s">
        <v>134</v>
      </c>
      <c r="D104" s="4">
        <v>2116800</v>
      </c>
      <c r="E104" s="4">
        <v>2116800</v>
      </c>
      <c r="F104" s="4">
        <v>2116800</v>
      </c>
      <c r="G104" s="4">
        <f>2116800-382400</f>
        <v>1734400</v>
      </c>
      <c r="H104" s="4">
        <v>1754000</v>
      </c>
      <c r="I104" s="4">
        <v>6.3</v>
      </c>
      <c r="J104" s="4">
        <v>374510.23</v>
      </c>
      <c r="K104" s="4">
        <v>333884.07</v>
      </c>
      <c r="L104" s="4">
        <f>I104+J104+K104</f>
        <v>708400.6</v>
      </c>
      <c r="M104" s="4">
        <v>349793.32</v>
      </c>
      <c r="N104" s="4">
        <v>0</v>
      </c>
      <c r="O104" s="4">
        <v>0</v>
      </c>
      <c r="P104" s="4">
        <f>M104+N104+O104</f>
        <v>349793.32</v>
      </c>
      <c r="Q104" s="4">
        <f t="shared" si="100"/>
        <v>1058193.9199999999</v>
      </c>
      <c r="R104" s="4">
        <v>338672.24</v>
      </c>
      <c r="S104" s="4">
        <v>2970.43</v>
      </c>
      <c r="T104" s="4">
        <v>5.08</v>
      </c>
      <c r="U104" s="4">
        <f t="shared" si="94"/>
        <v>341647.75</v>
      </c>
      <c r="V104" s="4">
        <f t="shared" si="95"/>
        <v>1399841.67</v>
      </c>
      <c r="W104" s="4">
        <v>329823.42</v>
      </c>
      <c r="X104" s="67">
        <v>7.27</v>
      </c>
      <c r="Y104" s="4">
        <v>10876.67</v>
      </c>
      <c r="Z104" s="4">
        <f t="shared" si="96"/>
        <v>1740549.0299999998</v>
      </c>
      <c r="AA104" s="5">
        <f t="shared" si="97"/>
        <v>79.808533067274794</v>
      </c>
      <c r="AB104" s="4">
        <f t="shared" si="92"/>
        <v>-13450.970000000205</v>
      </c>
      <c r="AC104" s="4">
        <f t="shared" si="93"/>
        <v>99.233125997719483</v>
      </c>
    </row>
    <row r="105" spans="1:29" s="16" customFormat="1" ht="13.2" x14ac:dyDescent="0.25">
      <c r="A105" s="19" t="s">
        <v>135</v>
      </c>
      <c r="B105" s="7" t="s">
        <v>133</v>
      </c>
      <c r="C105" s="3" t="s">
        <v>136</v>
      </c>
      <c r="D105" s="4">
        <v>8856000</v>
      </c>
      <c r="E105" s="4">
        <v>8856000</v>
      </c>
      <c r="F105" s="4">
        <v>8856000</v>
      </c>
      <c r="G105" s="4">
        <f>8856000+3296000</f>
        <v>12152000</v>
      </c>
      <c r="H105" s="4">
        <v>19440615</v>
      </c>
      <c r="I105" s="4">
        <v>0</v>
      </c>
      <c r="J105" s="4">
        <v>4241401.55</v>
      </c>
      <c r="K105" s="4">
        <v>218922.64</v>
      </c>
      <c r="L105" s="4">
        <f>I105+J105+K105</f>
        <v>4460324.1899999995</v>
      </c>
      <c r="M105" s="4">
        <v>3082254.64</v>
      </c>
      <c r="N105" s="4">
        <v>0</v>
      </c>
      <c r="O105" s="4">
        <v>0</v>
      </c>
      <c r="P105" s="4">
        <f>M105+N105+O105</f>
        <v>3082254.64</v>
      </c>
      <c r="Q105" s="4">
        <f t="shared" si="100"/>
        <v>7542578.8300000001</v>
      </c>
      <c r="R105" s="4">
        <v>3082892.57</v>
      </c>
      <c r="S105" s="4">
        <v>0</v>
      </c>
      <c r="T105" s="4">
        <v>0</v>
      </c>
      <c r="U105" s="4">
        <f t="shared" si="94"/>
        <v>3082892.57</v>
      </c>
      <c r="V105" s="4">
        <f t="shared" si="95"/>
        <v>10625471.4</v>
      </c>
      <c r="W105" s="4">
        <v>8563500</v>
      </c>
      <c r="X105" s="67">
        <v>0</v>
      </c>
      <c r="Y105" s="4">
        <v>0</v>
      </c>
      <c r="Z105" s="4">
        <f t="shared" si="96"/>
        <v>19188971.399999999</v>
      </c>
      <c r="AA105" s="5">
        <f t="shared" si="97"/>
        <v>54.656045603495571</v>
      </c>
      <c r="AB105" s="4">
        <f t="shared" si="92"/>
        <v>-251643.60000000149</v>
      </c>
      <c r="AC105" s="4">
        <f t="shared" si="93"/>
        <v>98.705577987116143</v>
      </c>
    </row>
    <row r="106" spans="1:29" s="16" customFormat="1" ht="13.2" x14ac:dyDescent="0.25">
      <c r="A106" s="19" t="s">
        <v>137</v>
      </c>
      <c r="B106" s="7" t="s">
        <v>5</v>
      </c>
      <c r="C106" s="3" t="s">
        <v>138</v>
      </c>
      <c r="D106" s="4">
        <f t="shared" ref="D106:P106" si="129">+D107+D108</f>
        <v>4663200</v>
      </c>
      <c r="E106" s="4">
        <f t="shared" si="129"/>
        <v>4663200</v>
      </c>
      <c r="F106" s="4">
        <f t="shared" si="129"/>
        <v>4663200</v>
      </c>
      <c r="G106" s="4">
        <f t="shared" si="129"/>
        <v>2571320</v>
      </c>
      <c r="H106" s="4">
        <f t="shared" si="129"/>
        <v>3371000</v>
      </c>
      <c r="I106" s="4">
        <f t="shared" si="129"/>
        <v>3134.78</v>
      </c>
      <c r="J106" s="4">
        <f t="shared" si="129"/>
        <v>1362145.67</v>
      </c>
      <c r="K106" s="4">
        <f t="shared" si="129"/>
        <v>901816.5</v>
      </c>
      <c r="L106" s="4">
        <f t="shared" si="129"/>
        <v>2267096.9499999997</v>
      </c>
      <c r="M106" s="4">
        <f t="shared" si="129"/>
        <v>216544.46</v>
      </c>
      <c r="N106" s="4">
        <f t="shared" si="129"/>
        <v>0</v>
      </c>
      <c r="O106" s="4">
        <f t="shared" si="129"/>
        <v>896</v>
      </c>
      <c r="P106" s="4">
        <f t="shared" si="129"/>
        <v>217440.46</v>
      </c>
      <c r="Q106" s="4">
        <f t="shared" si="100"/>
        <v>2484537.4099999997</v>
      </c>
      <c r="R106" s="4">
        <f t="shared" ref="R106:T106" si="130">+R107+R108</f>
        <v>396898.15</v>
      </c>
      <c r="S106" s="4">
        <f t="shared" si="130"/>
        <v>1800</v>
      </c>
      <c r="T106" s="4">
        <f t="shared" si="130"/>
        <v>0</v>
      </c>
      <c r="U106" s="4">
        <f t="shared" si="94"/>
        <v>398698.15</v>
      </c>
      <c r="V106" s="4">
        <f t="shared" si="95"/>
        <v>2883235.5599999996</v>
      </c>
      <c r="W106" s="4">
        <f t="shared" ref="W106:Y106" si="131">+W107+W108</f>
        <v>450526.18</v>
      </c>
      <c r="X106" s="67">
        <f t="shared" si="131"/>
        <v>18109</v>
      </c>
      <c r="Y106" s="4">
        <f t="shared" si="131"/>
        <v>201576.36</v>
      </c>
      <c r="Z106" s="4">
        <f t="shared" si="96"/>
        <v>3553447.0999999996</v>
      </c>
      <c r="AA106" s="5">
        <f t="shared" si="97"/>
        <v>85.53057134381487</v>
      </c>
      <c r="AB106" s="4">
        <f t="shared" si="92"/>
        <v>182447.09999999963</v>
      </c>
      <c r="AC106" s="4">
        <f t="shared" si="93"/>
        <v>105.41225452388015</v>
      </c>
    </row>
    <row r="107" spans="1:29" s="16" customFormat="1" ht="13.2" x14ac:dyDescent="0.25">
      <c r="A107" s="19" t="s">
        <v>139</v>
      </c>
      <c r="B107" s="7" t="s">
        <v>133</v>
      </c>
      <c r="C107" s="3" t="s">
        <v>140</v>
      </c>
      <c r="D107" s="4">
        <v>4404000</v>
      </c>
      <c r="E107" s="4">
        <v>4404000</v>
      </c>
      <c r="F107" s="4">
        <v>4404000</v>
      </c>
      <c r="G107" s="4">
        <f>4404000-1951200</f>
        <v>2452800</v>
      </c>
      <c r="H107" s="4">
        <v>3250000</v>
      </c>
      <c r="I107" s="4">
        <v>3134.78</v>
      </c>
      <c r="J107" s="4">
        <v>1360689.94</v>
      </c>
      <c r="K107" s="4">
        <v>784747.7</v>
      </c>
      <c r="L107" s="4">
        <f>I107+J107+K107</f>
        <v>2148572.42</v>
      </c>
      <c r="M107" s="4">
        <v>216544.46</v>
      </c>
      <c r="N107" s="4">
        <v>0</v>
      </c>
      <c r="O107" s="4">
        <v>896</v>
      </c>
      <c r="P107" s="4">
        <f>M107+N107+O107</f>
        <v>217440.46</v>
      </c>
      <c r="Q107" s="4">
        <f t="shared" si="100"/>
        <v>2366012.88</v>
      </c>
      <c r="R107" s="4">
        <v>394952.15</v>
      </c>
      <c r="S107" s="4">
        <v>1800</v>
      </c>
      <c r="T107" s="4">
        <v>0</v>
      </c>
      <c r="U107" s="4">
        <f t="shared" si="94"/>
        <v>396752.15</v>
      </c>
      <c r="V107" s="4">
        <f t="shared" si="95"/>
        <v>2762765.03</v>
      </c>
      <c r="W107" s="4">
        <v>450526.18</v>
      </c>
      <c r="X107" s="67">
        <v>18109</v>
      </c>
      <c r="Y107" s="4">
        <v>1576.36</v>
      </c>
      <c r="Z107" s="4">
        <f t="shared" si="96"/>
        <v>3232976.57</v>
      </c>
      <c r="AA107" s="5">
        <f t="shared" si="97"/>
        <v>85.008154769230757</v>
      </c>
      <c r="AB107" s="4">
        <f t="shared" si="92"/>
        <v>-17023.430000000168</v>
      </c>
      <c r="AC107" s="4">
        <f t="shared" si="93"/>
        <v>99.476202153846145</v>
      </c>
    </row>
    <row r="108" spans="1:29" s="16" customFormat="1" ht="13.2" x14ac:dyDescent="0.25">
      <c r="A108" s="19" t="s">
        <v>141</v>
      </c>
      <c r="B108" s="7" t="s">
        <v>133</v>
      </c>
      <c r="C108" s="3" t="s">
        <v>142</v>
      </c>
      <c r="D108" s="4">
        <v>259200</v>
      </c>
      <c r="E108" s="4">
        <v>259200</v>
      </c>
      <c r="F108" s="4">
        <v>259200</v>
      </c>
      <c r="G108" s="4">
        <f>259200-140680</f>
        <v>118520</v>
      </c>
      <c r="H108" s="4">
        <v>121000</v>
      </c>
      <c r="I108" s="4">
        <v>0</v>
      </c>
      <c r="J108" s="4">
        <v>1455.73</v>
      </c>
      <c r="K108" s="4">
        <v>117068.8</v>
      </c>
      <c r="L108" s="4">
        <f>I108+J108+K108</f>
        <v>118524.53</v>
      </c>
      <c r="M108" s="4">
        <v>0</v>
      </c>
      <c r="N108" s="4">
        <v>0</v>
      </c>
      <c r="O108" s="4">
        <v>0</v>
      </c>
      <c r="P108" s="4">
        <f>M108+N108+O108</f>
        <v>0</v>
      </c>
      <c r="Q108" s="4">
        <f t="shared" si="100"/>
        <v>118524.53</v>
      </c>
      <c r="R108" s="4">
        <v>1946</v>
      </c>
      <c r="S108" s="4">
        <v>0</v>
      </c>
      <c r="T108" s="4">
        <v>0</v>
      </c>
      <c r="U108" s="4">
        <f t="shared" si="94"/>
        <v>1946</v>
      </c>
      <c r="V108" s="4">
        <f t="shared" si="95"/>
        <v>120470.53</v>
      </c>
      <c r="W108" s="4">
        <v>0</v>
      </c>
      <c r="X108" s="67">
        <v>0</v>
      </c>
      <c r="Y108" s="4">
        <v>200000</v>
      </c>
      <c r="Z108" s="4">
        <f t="shared" si="96"/>
        <v>320470.53000000003</v>
      </c>
      <c r="AA108" s="5">
        <f t="shared" si="97"/>
        <v>99.562421487603302</v>
      </c>
      <c r="AB108" s="4">
        <f t="shared" si="92"/>
        <v>199470.53000000003</v>
      </c>
      <c r="AC108" s="4">
        <f t="shared" si="93"/>
        <v>264.85167768595039</v>
      </c>
    </row>
    <row r="109" spans="1:29" s="16" customFormat="1" ht="39.6" x14ac:dyDescent="0.25">
      <c r="A109" s="19" t="s">
        <v>474</v>
      </c>
      <c r="B109" s="7" t="s">
        <v>133</v>
      </c>
      <c r="C109" s="3" t="s">
        <v>463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145.66</v>
      </c>
      <c r="L109" s="4">
        <f>I109+J109+K109</f>
        <v>145.66</v>
      </c>
      <c r="M109" s="4">
        <v>0</v>
      </c>
      <c r="N109" s="4">
        <v>0</v>
      </c>
      <c r="O109" s="4">
        <v>0</v>
      </c>
      <c r="P109" s="4">
        <f t="shared" ref="P109" si="132">M109+N109+O109</f>
        <v>0</v>
      </c>
      <c r="Q109" s="4">
        <f t="shared" si="100"/>
        <v>145.66</v>
      </c>
      <c r="R109" s="4">
        <v>0</v>
      </c>
      <c r="S109" s="4">
        <v>0</v>
      </c>
      <c r="T109" s="4">
        <v>0</v>
      </c>
      <c r="U109" s="4">
        <f t="shared" si="94"/>
        <v>0</v>
      </c>
      <c r="V109" s="4">
        <f t="shared" si="95"/>
        <v>145.66</v>
      </c>
      <c r="W109" s="4">
        <v>0</v>
      </c>
      <c r="X109" s="67">
        <v>0</v>
      </c>
      <c r="Y109" s="4">
        <v>0</v>
      </c>
      <c r="Z109" s="4">
        <f t="shared" si="96"/>
        <v>145.66</v>
      </c>
      <c r="AA109" s="5"/>
      <c r="AB109" s="4">
        <f t="shared" si="92"/>
        <v>145.66</v>
      </c>
      <c r="AC109" s="4">
        <v>0</v>
      </c>
    </row>
    <row r="110" spans="1:29" s="16" customFormat="1" ht="13.2" x14ac:dyDescent="0.25">
      <c r="A110" s="19" t="s">
        <v>143</v>
      </c>
      <c r="B110" s="7" t="s">
        <v>5</v>
      </c>
      <c r="C110" s="3" t="s">
        <v>144</v>
      </c>
      <c r="D110" s="4">
        <f t="shared" ref="D110:T111" si="133">+D111</f>
        <v>434385</v>
      </c>
      <c r="E110" s="4">
        <f t="shared" si="133"/>
        <v>434385</v>
      </c>
      <c r="F110" s="4">
        <f t="shared" si="133"/>
        <v>434385</v>
      </c>
      <c r="G110" s="4">
        <f t="shared" si="133"/>
        <v>434385</v>
      </c>
      <c r="H110" s="4">
        <f t="shared" si="133"/>
        <v>434385</v>
      </c>
      <c r="I110" s="4">
        <f t="shared" si="133"/>
        <v>68582.490000000005</v>
      </c>
      <c r="J110" s="4">
        <f t="shared" si="133"/>
        <v>0</v>
      </c>
      <c r="K110" s="4">
        <f t="shared" si="133"/>
        <v>0</v>
      </c>
      <c r="L110" s="4">
        <f t="shared" si="133"/>
        <v>68582.490000000005</v>
      </c>
      <c r="M110" s="4">
        <f t="shared" si="133"/>
        <v>72860.83</v>
      </c>
      <c r="N110" s="4">
        <f t="shared" si="133"/>
        <v>45721.66</v>
      </c>
      <c r="O110" s="4">
        <f t="shared" si="133"/>
        <v>20000</v>
      </c>
      <c r="P110" s="4">
        <f t="shared" si="133"/>
        <v>138582.49</v>
      </c>
      <c r="Q110" s="4">
        <f t="shared" si="100"/>
        <v>207164.97999999998</v>
      </c>
      <c r="R110" s="4">
        <f t="shared" si="133"/>
        <v>42860.83</v>
      </c>
      <c r="S110" s="4">
        <f t="shared" si="133"/>
        <v>42860.83</v>
      </c>
      <c r="T110" s="4">
        <f t="shared" si="133"/>
        <v>22860.83</v>
      </c>
      <c r="U110" s="4">
        <f t="shared" si="94"/>
        <v>108582.49</v>
      </c>
      <c r="V110" s="4">
        <f t="shared" si="95"/>
        <v>315747.46999999997</v>
      </c>
      <c r="W110" s="4">
        <f t="shared" ref="W110:Y111" si="134">+W111</f>
        <v>49536.73</v>
      </c>
      <c r="X110" s="67">
        <f t="shared" si="134"/>
        <v>13337.95</v>
      </c>
      <c r="Y110" s="4">
        <f t="shared" si="134"/>
        <v>59088.15</v>
      </c>
      <c r="Z110" s="4">
        <f t="shared" si="96"/>
        <v>437710.3</v>
      </c>
      <c r="AA110" s="5">
        <f t="shared" si="97"/>
        <v>72.688391634149411</v>
      </c>
      <c r="AB110" s="4">
        <f t="shared" si="92"/>
        <v>3325.2999999999884</v>
      </c>
      <c r="AC110" s="4">
        <f t="shared" si="93"/>
        <v>100.76551906718694</v>
      </c>
    </row>
    <row r="111" spans="1:29" s="16" customFormat="1" ht="26.4" x14ac:dyDescent="0.25">
      <c r="A111" s="19" t="s">
        <v>145</v>
      </c>
      <c r="B111" s="7" t="s">
        <v>5</v>
      </c>
      <c r="C111" s="3" t="s">
        <v>146</v>
      </c>
      <c r="D111" s="4">
        <f t="shared" si="133"/>
        <v>434385</v>
      </c>
      <c r="E111" s="4">
        <f t="shared" si="133"/>
        <v>434385</v>
      </c>
      <c r="F111" s="4">
        <f t="shared" si="133"/>
        <v>434385</v>
      </c>
      <c r="G111" s="4">
        <f t="shared" si="133"/>
        <v>434385</v>
      </c>
      <c r="H111" s="4">
        <f t="shared" si="133"/>
        <v>434385</v>
      </c>
      <c r="I111" s="4">
        <f t="shared" si="133"/>
        <v>68582.490000000005</v>
      </c>
      <c r="J111" s="4">
        <f t="shared" si="133"/>
        <v>0</v>
      </c>
      <c r="K111" s="4">
        <f t="shared" si="133"/>
        <v>0</v>
      </c>
      <c r="L111" s="4">
        <f t="shared" si="133"/>
        <v>68582.490000000005</v>
      </c>
      <c r="M111" s="4">
        <f t="shared" si="133"/>
        <v>72860.83</v>
      </c>
      <c r="N111" s="4">
        <f t="shared" si="133"/>
        <v>45721.66</v>
      </c>
      <c r="O111" s="4">
        <f t="shared" si="133"/>
        <v>20000</v>
      </c>
      <c r="P111" s="4">
        <f t="shared" si="133"/>
        <v>138582.49</v>
      </c>
      <c r="Q111" s="4">
        <f t="shared" si="100"/>
        <v>207164.97999999998</v>
      </c>
      <c r="R111" s="4">
        <f t="shared" si="133"/>
        <v>42860.83</v>
      </c>
      <c r="S111" s="4">
        <f t="shared" si="133"/>
        <v>42860.83</v>
      </c>
      <c r="T111" s="4">
        <f t="shared" si="133"/>
        <v>22860.83</v>
      </c>
      <c r="U111" s="4">
        <f t="shared" si="94"/>
        <v>108582.49</v>
      </c>
      <c r="V111" s="4">
        <f t="shared" si="95"/>
        <v>315747.46999999997</v>
      </c>
      <c r="W111" s="4">
        <f t="shared" si="134"/>
        <v>49536.73</v>
      </c>
      <c r="X111" s="67">
        <f t="shared" si="134"/>
        <v>13337.95</v>
      </c>
      <c r="Y111" s="4">
        <f t="shared" si="134"/>
        <v>59088.15</v>
      </c>
      <c r="Z111" s="4">
        <f t="shared" si="96"/>
        <v>437710.3</v>
      </c>
      <c r="AA111" s="5">
        <f t="shared" si="97"/>
        <v>72.688391634149411</v>
      </c>
      <c r="AB111" s="4">
        <f t="shared" si="92"/>
        <v>3325.2999999999884</v>
      </c>
      <c r="AC111" s="4">
        <f t="shared" si="93"/>
        <v>100.76551906718694</v>
      </c>
    </row>
    <row r="112" spans="1:29" s="16" customFormat="1" ht="39.6" x14ac:dyDescent="0.25">
      <c r="A112" s="19" t="s">
        <v>147</v>
      </c>
      <c r="B112" s="7" t="s">
        <v>87</v>
      </c>
      <c r="C112" s="3" t="s">
        <v>148</v>
      </c>
      <c r="D112" s="4">
        <v>434385</v>
      </c>
      <c r="E112" s="4">
        <v>434385</v>
      </c>
      <c r="F112" s="4">
        <v>434385</v>
      </c>
      <c r="G112" s="4">
        <v>434385</v>
      </c>
      <c r="H112" s="4">
        <v>434385</v>
      </c>
      <c r="I112" s="4">
        <v>68582.490000000005</v>
      </c>
      <c r="J112" s="4">
        <v>0</v>
      </c>
      <c r="K112" s="4">
        <v>0</v>
      </c>
      <c r="L112" s="4">
        <f>I112+J112+K112</f>
        <v>68582.490000000005</v>
      </c>
      <c r="M112" s="4">
        <v>72860.83</v>
      </c>
      <c r="N112" s="4">
        <v>45721.66</v>
      </c>
      <c r="O112" s="4">
        <v>20000</v>
      </c>
      <c r="P112" s="4">
        <f>M112+N112+O112</f>
        <v>138582.49</v>
      </c>
      <c r="Q112" s="4">
        <f t="shared" si="100"/>
        <v>207164.97999999998</v>
      </c>
      <c r="R112" s="4">
        <v>42860.83</v>
      </c>
      <c r="S112" s="4">
        <v>42860.83</v>
      </c>
      <c r="T112" s="4">
        <v>22860.83</v>
      </c>
      <c r="U112" s="4">
        <f t="shared" si="94"/>
        <v>108582.49</v>
      </c>
      <c r="V112" s="4">
        <f t="shared" si="95"/>
        <v>315747.46999999997</v>
      </c>
      <c r="W112" s="4">
        <v>49536.73</v>
      </c>
      <c r="X112" s="67">
        <v>13337.95</v>
      </c>
      <c r="Y112" s="4">
        <v>59088.15</v>
      </c>
      <c r="Z112" s="4">
        <f t="shared" si="96"/>
        <v>437710.3</v>
      </c>
      <c r="AA112" s="5">
        <f t="shared" si="97"/>
        <v>72.688391634149411</v>
      </c>
      <c r="AB112" s="4">
        <f t="shared" si="92"/>
        <v>3325.2999999999884</v>
      </c>
      <c r="AC112" s="4">
        <f t="shared" si="93"/>
        <v>100.76551906718694</v>
      </c>
    </row>
    <row r="113" spans="1:29" s="16" customFormat="1" ht="28.2" customHeight="1" x14ac:dyDescent="0.25">
      <c r="A113" s="19" t="s">
        <v>149</v>
      </c>
      <c r="B113" s="7" t="s">
        <v>5</v>
      </c>
      <c r="C113" s="3" t="s">
        <v>150</v>
      </c>
      <c r="D113" s="4">
        <f t="shared" ref="D113:P113" si="135">+D118+D114</f>
        <v>1182000</v>
      </c>
      <c r="E113" s="4">
        <f t="shared" si="135"/>
        <v>1183276.5</v>
      </c>
      <c r="F113" s="4">
        <f t="shared" si="135"/>
        <v>1183276.5</v>
      </c>
      <c r="G113" s="4">
        <f t="shared" si="135"/>
        <v>1778276.5</v>
      </c>
      <c r="H113" s="4">
        <f t="shared" si="135"/>
        <v>4992541.2</v>
      </c>
      <c r="I113" s="4">
        <f t="shared" si="135"/>
        <v>88635.75</v>
      </c>
      <c r="J113" s="4">
        <f t="shared" si="135"/>
        <v>71432.91</v>
      </c>
      <c r="K113" s="4">
        <f t="shared" si="135"/>
        <v>127598.54000000001</v>
      </c>
      <c r="L113" s="4">
        <f t="shared" si="135"/>
        <v>287667.19999999995</v>
      </c>
      <c r="M113" s="4">
        <f t="shared" si="135"/>
        <v>705963.47</v>
      </c>
      <c r="N113" s="4">
        <f t="shared" si="135"/>
        <v>128346.57</v>
      </c>
      <c r="O113" s="4">
        <f t="shared" si="135"/>
        <v>727031.03</v>
      </c>
      <c r="P113" s="4">
        <f t="shared" si="135"/>
        <v>1561341.07</v>
      </c>
      <c r="Q113" s="4">
        <f t="shared" si="100"/>
        <v>1849008.27</v>
      </c>
      <c r="R113" s="4">
        <f t="shared" ref="R113:T113" si="136">+R118+R114</f>
        <v>130505.41</v>
      </c>
      <c r="S113" s="4">
        <f t="shared" si="136"/>
        <v>94130.53</v>
      </c>
      <c r="T113" s="4">
        <f t="shared" si="136"/>
        <v>645083.61</v>
      </c>
      <c r="U113" s="4">
        <f t="shared" si="94"/>
        <v>869719.55</v>
      </c>
      <c r="V113" s="4">
        <f t="shared" si="95"/>
        <v>2718727.8200000003</v>
      </c>
      <c r="W113" s="4">
        <f t="shared" ref="W113:Y113" si="137">+W118+W114</f>
        <v>670247.21</v>
      </c>
      <c r="X113" s="67">
        <f t="shared" si="137"/>
        <v>150573.88999999998</v>
      </c>
      <c r="Y113" s="4">
        <f t="shared" si="137"/>
        <v>1841210.0599999998</v>
      </c>
      <c r="Z113" s="4">
        <f t="shared" si="96"/>
        <v>5380758.9800000004</v>
      </c>
      <c r="AA113" s="5">
        <f t="shared" si="97"/>
        <v>54.455791371336105</v>
      </c>
      <c r="AB113" s="4">
        <f t="shared" si="92"/>
        <v>388217.78000000026</v>
      </c>
      <c r="AC113" s="4">
        <f t="shared" si="93"/>
        <v>107.77595545931599</v>
      </c>
    </row>
    <row r="114" spans="1:29" s="16" customFormat="1" ht="13.2" x14ac:dyDescent="0.25">
      <c r="A114" s="19" t="s">
        <v>151</v>
      </c>
      <c r="B114" s="7" t="s">
        <v>5</v>
      </c>
      <c r="C114" s="3" t="s">
        <v>152</v>
      </c>
      <c r="D114" s="4">
        <f t="shared" ref="D114:T115" si="138">+D115</f>
        <v>71000</v>
      </c>
      <c r="E114" s="4">
        <f t="shared" si="138"/>
        <v>71000</v>
      </c>
      <c r="F114" s="4">
        <f t="shared" si="138"/>
        <v>71000</v>
      </c>
      <c r="G114" s="4">
        <f t="shared" si="138"/>
        <v>71000</v>
      </c>
      <c r="H114" s="4">
        <f t="shared" si="138"/>
        <v>74000</v>
      </c>
      <c r="I114" s="4">
        <f t="shared" si="138"/>
        <v>1800</v>
      </c>
      <c r="J114" s="4">
        <f t="shared" si="138"/>
        <v>5500</v>
      </c>
      <c r="K114" s="4">
        <f t="shared" si="138"/>
        <v>6600</v>
      </c>
      <c r="L114" s="4">
        <f t="shared" si="138"/>
        <v>13900</v>
      </c>
      <c r="M114" s="4">
        <f t="shared" si="138"/>
        <v>7100</v>
      </c>
      <c r="N114" s="4">
        <f t="shared" si="138"/>
        <v>5000</v>
      </c>
      <c r="O114" s="4">
        <f t="shared" si="138"/>
        <v>6600</v>
      </c>
      <c r="P114" s="4">
        <f t="shared" si="138"/>
        <v>18700</v>
      </c>
      <c r="Q114" s="4">
        <f t="shared" si="100"/>
        <v>32600</v>
      </c>
      <c r="R114" s="4">
        <f t="shared" si="138"/>
        <v>5900</v>
      </c>
      <c r="S114" s="4">
        <f t="shared" si="138"/>
        <v>5000</v>
      </c>
      <c r="T114" s="4">
        <f t="shared" si="138"/>
        <v>6600</v>
      </c>
      <c r="U114" s="4">
        <f t="shared" si="94"/>
        <v>17500</v>
      </c>
      <c r="V114" s="4">
        <f t="shared" si="95"/>
        <v>50100</v>
      </c>
      <c r="W114" s="4">
        <f t="shared" ref="W114:Y115" si="139">+W115</f>
        <v>9000</v>
      </c>
      <c r="X114" s="67">
        <f t="shared" si="139"/>
        <v>3400</v>
      </c>
      <c r="Y114" s="4">
        <f t="shared" si="139"/>
        <v>3200</v>
      </c>
      <c r="Z114" s="4">
        <f t="shared" si="96"/>
        <v>65700</v>
      </c>
      <c r="AA114" s="5">
        <f t="shared" si="97"/>
        <v>67.702702702702695</v>
      </c>
      <c r="AB114" s="4">
        <f t="shared" si="92"/>
        <v>-8300</v>
      </c>
      <c r="AC114" s="4">
        <f t="shared" si="93"/>
        <v>88.78378378378379</v>
      </c>
    </row>
    <row r="115" spans="1:29" s="16" customFormat="1" ht="13.2" x14ac:dyDescent="0.25">
      <c r="A115" s="19" t="s">
        <v>153</v>
      </c>
      <c r="B115" s="7" t="s">
        <v>5</v>
      </c>
      <c r="C115" s="3" t="s">
        <v>154</v>
      </c>
      <c r="D115" s="4">
        <f t="shared" si="138"/>
        <v>71000</v>
      </c>
      <c r="E115" s="4">
        <f t="shared" si="138"/>
        <v>71000</v>
      </c>
      <c r="F115" s="4">
        <f t="shared" si="138"/>
        <v>71000</v>
      </c>
      <c r="G115" s="4">
        <f t="shared" si="138"/>
        <v>71000</v>
      </c>
      <c r="H115" s="4">
        <f t="shared" si="138"/>
        <v>74000</v>
      </c>
      <c r="I115" s="4">
        <f t="shared" si="138"/>
        <v>1800</v>
      </c>
      <c r="J115" s="4">
        <f t="shared" si="138"/>
        <v>5500</v>
      </c>
      <c r="K115" s="4">
        <f t="shared" si="138"/>
        <v>6600</v>
      </c>
      <c r="L115" s="4">
        <f t="shared" si="138"/>
        <v>13900</v>
      </c>
      <c r="M115" s="4">
        <f t="shared" si="138"/>
        <v>7100</v>
      </c>
      <c r="N115" s="4">
        <f t="shared" si="138"/>
        <v>5000</v>
      </c>
      <c r="O115" s="4">
        <f t="shared" si="138"/>
        <v>6600</v>
      </c>
      <c r="P115" s="4">
        <f t="shared" si="138"/>
        <v>18700</v>
      </c>
      <c r="Q115" s="4">
        <f t="shared" si="100"/>
        <v>32600</v>
      </c>
      <c r="R115" s="4">
        <f t="shared" si="138"/>
        <v>5900</v>
      </c>
      <c r="S115" s="4">
        <f t="shared" si="138"/>
        <v>5000</v>
      </c>
      <c r="T115" s="4">
        <f t="shared" si="138"/>
        <v>6600</v>
      </c>
      <c r="U115" s="4">
        <f t="shared" si="94"/>
        <v>17500</v>
      </c>
      <c r="V115" s="4">
        <f t="shared" si="95"/>
        <v>50100</v>
      </c>
      <c r="W115" s="4">
        <f t="shared" si="139"/>
        <v>9000</v>
      </c>
      <c r="X115" s="67">
        <f t="shared" si="139"/>
        <v>3400</v>
      </c>
      <c r="Y115" s="4">
        <f t="shared" si="139"/>
        <v>3200</v>
      </c>
      <c r="Z115" s="4">
        <f t="shared" si="96"/>
        <v>65700</v>
      </c>
      <c r="AA115" s="5">
        <f t="shared" si="97"/>
        <v>67.702702702702695</v>
      </c>
      <c r="AB115" s="4">
        <f t="shared" si="92"/>
        <v>-8300</v>
      </c>
      <c r="AC115" s="4">
        <f t="shared" si="93"/>
        <v>88.78378378378379</v>
      </c>
    </row>
    <row r="116" spans="1:29" s="16" customFormat="1" ht="28.2" customHeight="1" x14ac:dyDescent="0.25">
      <c r="A116" s="19" t="s">
        <v>155</v>
      </c>
      <c r="B116" s="7" t="s">
        <v>5</v>
      </c>
      <c r="C116" s="24" t="s">
        <v>156</v>
      </c>
      <c r="D116" s="4">
        <f t="shared" ref="D116:T116" si="140">SUM(D117:D117)</f>
        <v>71000</v>
      </c>
      <c r="E116" s="4">
        <f t="shared" si="140"/>
        <v>71000</v>
      </c>
      <c r="F116" s="4">
        <f t="shared" si="140"/>
        <v>71000</v>
      </c>
      <c r="G116" s="4">
        <f t="shared" si="140"/>
        <v>71000</v>
      </c>
      <c r="H116" s="4">
        <f t="shared" si="140"/>
        <v>74000</v>
      </c>
      <c r="I116" s="4">
        <f t="shared" si="140"/>
        <v>1800</v>
      </c>
      <c r="J116" s="4">
        <f t="shared" si="140"/>
        <v>5500</v>
      </c>
      <c r="K116" s="4">
        <f t="shared" si="140"/>
        <v>6600</v>
      </c>
      <c r="L116" s="4">
        <f t="shared" si="140"/>
        <v>13900</v>
      </c>
      <c r="M116" s="4">
        <f t="shared" si="140"/>
        <v>7100</v>
      </c>
      <c r="N116" s="4">
        <f t="shared" si="140"/>
        <v>5000</v>
      </c>
      <c r="O116" s="4">
        <f t="shared" si="140"/>
        <v>6600</v>
      </c>
      <c r="P116" s="4">
        <f t="shared" si="140"/>
        <v>18700</v>
      </c>
      <c r="Q116" s="4">
        <f t="shared" si="100"/>
        <v>32600</v>
      </c>
      <c r="R116" s="4">
        <f t="shared" si="140"/>
        <v>5900</v>
      </c>
      <c r="S116" s="4">
        <f t="shared" si="140"/>
        <v>5000</v>
      </c>
      <c r="T116" s="4">
        <f t="shared" si="140"/>
        <v>6600</v>
      </c>
      <c r="U116" s="4">
        <f t="shared" si="94"/>
        <v>17500</v>
      </c>
      <c r="V116" s="4">
        <f t="shared" si="95"/>
        <v>50100</v>
      </c>
      <c r="W116" s="4">
        <f t="shared" ref="W116:Y116" si="141">SUM(W117:W117)</f>
        <v>9000</v>
      </c>
      <c r="X116" s="67">
        <f t="shared" si="141"/>
        <v>3400</v>
      </c>
      <c r="Y116" s="4">
        <f t="shared" si="141"/>
        <v>3200</v>
      </c>
      <c r="Z116" s="4">
        <f t="shared" si="96"/>
        <v>65700</v>
      </c>
      <c r="AA116" s="5">
        <f t="shared" si="97"/>
        <v>67.702702702702695</v>
      </c>
      <c r="AB116" s="4">
        <f t="shared" si="92"/>
        <v>-8300</v>
      </c>
      <c r="AC116" s="4">
        <f t="shared" si="93"/>
        <v>88.78378378378379</v>
      </c>
    </row>
    <row r="117" spans="1:29" s="16" customFormat="1" ht="52.8" x14ac:dyDescent="0.25">
      <c r="A117" s="34" t="s">
        <v>157</v>
      </c>
      <c r="B117" s="7" t="s">
        <v>87</v>
      </c>
      <c r="C117" s="24" t="s">
        <v>158</v>
      </c>
      <c r="D117" s="4">
        <v>71000</v>
      </c>
      <c r="E117" s="4">
        <v>71000</v>
      </c>
      <c r="F117" s="4">
        <v>71000</v>
      </c>
      <c r="G117" s="4">
        <v>71000</v>
      </c>
      <c r="H117" s="4">
        <v>74000</v>
      </c>
      <c r="I117" s="4">
        <v>1800</v>
      </c>
      <c r="J117" s="4">
        <v>5500</v>
      </c>
      <c r="K117" s="4">
        <v>6600</v>
      </c>
      <c r="L117" s="4">
        <f>I117+J117+K117</f>
        <v>13900</v>
      </c>
      <c r="M117" s="4">
        <v>7100</v>
      </c>
      <c r="N117" s="4">
        <v>5000</v>
      </c>
      <c r="O117" s="4">
        <v>6600</v>
      </c>
      <c r="P117" s="4">
        <f>M117+N117+O117</f>
        <v>18700</v>
      </c>
      <c r="Q117" s="4">
        <f t="shared" si="100"/>
        <v>32600</v>
      </c>
      <c r="R117" s="4">
        <v>5900</v>
      </c>
      <c r="S117" s="4">
        <v>5000</v>
      </c>
      <c r="T117" s="4">
        <v>6600</v>
      </c>
      <c r="U117" s="4">
        <f t="shared" si="94"/>
        <v>17500</v>
      </c>
      <c r="V117" s="4">
        <f t="shared" si="95"/>
        <v>50100</v>
      </c>
      <c r="W117" s="4">
        <v>9000</v>
      </c>
      <c r="X117" s="67">
        <v>3400</v>
      </c>
      <c r="Y117" s="4">
        <v>3200</v>
      </c>
      <c r="Z117" s="4">
        <f t="shared" si="96"/>
        <v>65700</v>
      </c>
      <c r="AA117" s="5">
        <f t="shared" si="97"/>
        <v>67.702702702702695</v>
      </c>
      <c r="AB117" s="4">
        <f t="shared" si="92"/>
        <v>-8300</v>
      </c>
      <c r="AC117" s="4">
        <f t="shared" si="93"/>
        <v>88.78378378378379</v>
      </c>
    </row>
    <row r="118" spans="1:29" s="16" customFormat="1" ht="13.2" x14ac:dyDescent="0.25">
      <c r="A118" s="19" t="s">
        <v>159</v>
      </c>
      <c r="B118" s="7" t="s">
        <v>5</v>
      </c>
      <c r="C118" s="3" t="s">
        <v>160</v>
      </c>
      <c r="D118" s="4">
        <f t="shared" ref="D118:T119" si="142">+D119</f>
        <v>1111000</v>
      </c>
      <c r="E118" s="4">
        <f t="shared" si="142"/>
        <v>1112276.5</v>
      </c>
      <c r="F118" s="4">
        <f t="shared" si="142"/>
        <v>1112276.5</v>
      </c>
      <c r="G118" s="4">
        <f t="shared" si="142"/>
        <v>1707276.5</v>
      </c>
      <c r="H118" s="4">
        <f t="shared" si="142"/>
        <v>4918541.2</v>
      </c>
      <c r="I118" s="4">
        <f t="shared" si="142"/>
        <v>86835.75</v>
      </c>
      <c r="J118" s="4">
        <f t="shared" si="142"/>
        <v>65932.91</v>
      </c>
      <c r="K118" s="4">
        <f t="shared" si="142"/>
        <v>120998.54000000001</v>
      </c>
      <c r="L118" s="4">
        <f t="shared" si="142"/>
        <v>273767.19999999995</v>
      </c>
      <c r="M118" s="4">
        <f t="shared" si="142"/>
        <v>698863.47</v>
      </c>
      <c r="N118" s="4">
        <f t="shared" si="142"/>
        <v>123346.57</v>
      </c>
      <c r="O118" s="4">
        <f t="shared" si="142"/>
        <v>720431.03</v>
      </c>
      <c r="P118" s="4">
        <f t="shared" si="142"/>
        <v>1542641.07</v>
      </c>
      <c r="Q118" s="4">
        <f t="shared" si="100"/>
        <v>1816408.27</v>
      </c>
      <c r="R118" s="4">
        <f t="shared" si="142"/>
        <v>124605.41</v>
      </c>
      <c r="S118" s="4">
        <f t="shared" si="142"/>
        <v>89130.53</v>
      </c>
      <c r="T118" s="4">
        <f t="shared" si="142"/>
        <v>638483.61</v>
      </c>
      <c r="U118" s="4">
        <f t="shared" si="94"/>
        <v>852219.55</v>
      </c>
      <c r="V118" s="4">
        <f t="shared" si="95"/>
        <v>2668627.8200000003</v>
      </c>
      <c r="W118" s="4">
        <f t="shared" ref="W118:Y119" si="143">+W119</f>
        <v>661247.21</v>
      </c>
      <c r="X118" s="67">
        <f t="shared" si="143"/>
        <v>147173.88999999998</v>
      </c>
      <c r="Y118" s="4">
        <f t="shared" si="143"/>
        <v>1838010.0599999998</v>
      </c>
      <c r="Z118" s="4">
        <f t="shared" si="96"/>
        <v>5315058.9800000004</v>
      </c>
      <c r="AA118" s="5">
        <f t="shared" si="97"/>
        <v>54.256490115402514</v>
      </c>
      <c r="AB118" s="4">
        <f t="shared" si="92"/>
        <v>396517.78000000026</v>
      </c>
      <c r="AC118" s="4">
        <f t="shared" si="93"/>
        <v>108.0616947968231</v>
      </c>
    </row>
    <row r="119" spans="1:29" s="16" customFormat="1" ht="13.2" x14ac:dyDescent="0.25">
      <c r="A119" s="19" t="s">
        <v>161</v>
      </c>
      <c r="B119" s="7" t="s">
        <v>5</v>
      </c>
      <c r="C119" s="3" t="s">
        <v>162</v>
      </c>
      <c r="D119" s="4">
        <f t="shared" si="142"/>
        <v>1111000</v>
      </c>
      <c r="E119" s="4">
        <f t="shared" si="142"/>
        <v>1112276.5</v>
      </c>
      <c r="F119" s="4">
        <f t="shared" si="142"/>
        <v>1112276.5</v>
      </c>
      <c r="G119" s="4">
        <f t="shared" si="142"/>
        <v>1707276.5</v>
      </c>
      <c r="H119" s="4">
        <f t="shared" si="142"/>
        <v>4918541.2</v>
      </c>
      <c r="I119" s="4">
        <f t="shared" si="142"/>
        <v>86835.75</v>
      </c>
      <c r="J119" s="4">
        <f t="shared" si="142"/>
        <v>65932.91</v>
      </c>
      <c r="K119" s="4">
        <f t="shared" si="142"/>
        <v>120998.54000000001</v>
      </c>
      <c r="L119" s="4">
        <f t="shared" si="142"/>
        <v>273767.19999999995</v>
      </c>
      <c r="M119" s="4">
        <f t="shared" si="142"/>
        <v>698863.47</v>
      </c>
      <c r="N119" s="4">
        <f t="shared" si="142"/>
        <v>123346.57</v>
      </c>
      <c r="O119" s="4">
        <f t="shared" si="142"/>
        <v>720431.03</v>
      </c>
      <c r="P119" s="4">
        <f t="shared" si="142"/>
        <v>1542641.07</v>
      </c>
      <c r="Q119" s="4">
        <f t="shared" si="100"/>
        <v>1816408.27</v>
      </c>
      <c r="R119" s="4">
        <f t="shared" si="142"/>
        <v>124605.41</v>
      </c>
      <c r="S119" s="4">
        <f t="shared" si="142"/>
        <v>89130.53</v>
      </c>
      <c r="T119" s="4">
        <f t="shared" si="142"/>
        <v>638483.61</v>
      </c>
      <c r="U119" s="4">
        <f t="shared" si="94"/>
        <v>852219.55</v>
      </c>
      <c r="V119" s="4">
        <f t="shared" si="95"/>
        <v>2668627.8200000003</v>
      </c>
      <c r="W119" s="4">
        <f t="shared" si="143"/>
        <v>661247.21</v>
      </c>
      <c r="X119" s="67">
        <f t="shared" si="143"/>
        <v>147173.88999999998</v>
      </c>
      <c r="Y119" s="4">
        <f t="shared" si="143"/>
        <v>1838010.0599999998</v>
      </c>
      <c r="Z119" s="4">
        <f t="shared" si="96"/>
        <v>5315058.9800000004</v>
      </c>
      <c r="AA119" s="5">
        <f t="shared" si="97"/>
        <v>54.256490115402514</v>
      </c>
      <c r="AB119" s="4">
        <f t="shared" si="92"/>
        <v>396517.78000000026</v>
      </c>
      <c r="AC119" s="4">
        <f t="shared" si="93"/>
        <v>108.0616947968231</v>
      </c>
    </row>
    <row r="120" spans="1:29" s="16" customFormat="1" ht="26.4" x14ac:dyDescent="0.25">
      <c r="A120" s="19" t="s">
        <v>163</v>
      </c>
      <c r="B120" s="7" t="s">
        <v>5</v>
      </c>
      <c r="C120" s="3" t="s">
        <v>164</v>
      </c>
      <c r="D120" s="4">
        <f>+D126+D127+D123+D124+D125</f>
        <v>1111000</v>
      </c>
      <c r="E120" s="4">
        <f>+E126+E127+E123+E124+E125</f>
        <v>1112276.5</v>
      </c>
      <c r="F120" s="4">
        <f>+F126+F127+F123+F124+F125</f>
        <v>1112276.5</v>
      </c>
      <c r="G120" s="4">
        <f t="shared" ref="G120:L120" si="144">+G126+G127+G123+G124+G125+G122+G121</f>
        <v>1707276.5</v>
      </c>
      <c r="H120" s="4">
        <f>+H126+H127+H123+H124+H125+H122+H121</f>
        <v>4918541.2</v>
      </c>
      <c r="I120" s="4">
        <f t="shared" si="144"/>
        <v>86835.75</v>
      </c>
      <c r="J120" s="4">
        <f t="shared" si="144"/>
        <v>65932.91</v>
      </c>
      <c r="K120" s="4">
        <f t="shared" si="144"/>
        <v>120998.54000000001</v>
      </c>
      <c r="L120" s="4">
        <f t="shared" si="144"/>
        <v>273767.19999999995</v>
      </c>
      <c r="M120" s="4">
        <f>+M126+M127+M123+M124+M125+M122+M121</f>
        <v>698863.47</v>
      </c>
      <c r="N120" s="4">
        <f t="shared" ref="N120:T120" si="145">+N126+N127+N123+N124+N125+N122+N121</f>
        <v>123346.57</v>
      </c>
      <c r="O120" s="4">
        <f t="shared" si="145"/>
        <v>720431.03</v>
      </c>
      <c r="P120" s="4">
        <f t="shared" si="145"/>
        <v>1542641.07</v>
      </c>
      <c r="Q120" s="4">
        <f t="shared" si="145"/>
        <v>1816408.27</v>
      </c>
      <c r="R120" s="4">
        <f t="shared" si="145"/>
        <v>124605.41</v>
      </c>
      <c r="S120" s="4">
        <f t="shared" si="145"/>
        <v>89130.53</v>
      </c>
      <c r="T120" s="4">
        <f t="shared" si="145"/>
        <v>638483.61</v>
      </c>
      <c r="U120" s="4">
        <f t="shared" si="94"/>
        <v>852219.55</v>
      </c>
      <c r="V120" s="4">
        <f t="shared" si="95"/>
        <v>2668627.8200000003</v>
      </c>
      <c r="W120" s="4">
        <f t="shared" ref="W120:Y120" si="146">+W126+W127+W123+W124+W125+W122+W121</f>
        <v>661247.21</v>
      </c>
      <c r="X120" s="67">
        <f t="shared" si="146"/>
        <v>147173.88999999998</v>
      </c>
      <c r="Y120" s="4">
        <f t="shared" si="146"/>
        <v>1838010.0599999998</v>
      </c>
      <c r="Z120" s="4">
        <f t="shared" si="96"/>
        <v>5315058.9800000004</v>
      </c>
      <c r="AA120" s="5">
        <f t="shared" si="97"/>
        <v>54.256490115402514</v>
      </c>
      <c r="AB120" s="4">
        <f t="shared" si="92"/>
        <v>396517.78000000026</v>
      </c>
      <c r="AC120" s="4">
        <f t="shared" si="93"/>
        <v>108.0616947968231</v>
      </c>
    </row>
    <row r="121" spans="1:29" s="16" customFormat="1" ht="26.4" x14ac:dyDescent="0.25">
      <c r="A121" s="1" t="s">
        <v>163</v>
      </c>
      <c r="B121" s="7" t="s">
        <v>87</v>
      </c>
      <c r="C121" s="3" t="s">
        <v>164</v>
      </c>
      <c r="D121" s="4"/>
      <c r="E121" s="4"/>
      <c r="F121" s="4"/>
      <c r="G121" s="4"/>
      <c r="H121" s="4">
        <v>0</v>
      </c>
      <c r="I121" s="4"/>
      <c r="J121" s="4"/>
      <c r="K121" s="4"/>
      <c r="L121" s="4">
        <f t="shared" ref="L121:L127" si="147">I121+J121+K121</f>
        <v>0</v>
      </c>
      <c r="M121" s="4"/>
      <c r="N121" s="4">
        <v>48.75</v>
      </c>
      <c r="O121" s="4">
        <v>0</v>
      </c>
      <c r="P121" s="4">
        <f t="shared" ref="P121:P127" si="148">M121+N121+O121</f>
        <v>48.75</v>
      </c>
      <c r="Q121" s="4">
        <f t="shared" ref="Q121:Q122" si="149">L121+P121</f>
        <v>48.75</v>
      </c>
      <c r="R121" s="4">
        <v>0</v>
      </c>
      <c r="S121" s="4">
        <v>0</v>
      </c>
      <c r="T121" s="4">
        <v>0</v>
      </c>
      <c r="U121" s="4">
        <f t="shared" si="94"/>
        <v>0</v>
      </c>
      <c r="V121" s="4">
        <f t="shared" si="95"/>
        <v>48.75</v>
      </c>
      <c r="W121" s="4">
        <v>9637.9699999999993</v>
      </c>
      <c r="X121" s="67">
        <v>0</v>
      </c>
      <c r="Y121" s="4">
        <v>0</v>
      </c>
      <c r="Z121" s="4">
        <f t="shared" si="96"/>
        <v>9686.7199999999993</v>
      </c>
      <c r="AA121" s="5"/>
      <c r="AB121" s="4">
        <f t="shared" si="92"/>
        <v>9686.7199999999993</v>
      </c>
      <c r="AC121" s="4">
        <v>0</v>
      </c>
    </row>
    <row r="122" spans="1:29" s="16" customFormat="1" ht="26.4" x14ac:dyDescent="0.25">
      <c r="A122" s="1" t="s">
        <v>163</v>
      </c>
      <c r="B122" s="7" t="s">
        <v>290</v>
      </c>
      <c r="C122" s="3" t="s">
        <v>164</v>
      </c>
      <c r="D122" s="4"/>
      <c r="E122" s="4"/>
      <c r="F122" s="4"/>
      <c r="G122" s="4"/>
      <c r="H122" s="4">
        <v>125</v>
      </c>
      <c r="I122" s="4"/>
      <c r="J122" s="4"/>
      <c r="K122" s="4"/>
      <c r="L122" s="4">
        <f t="shared" si="147"/>
        <v>0</v>
      </c>
      <c r="M122" s="4">
        <v>125</v>
      </c>
      <c r="N122" s="4"/>
      <c r="O122" s="4">
        <v>0</v>
      </c>
      <c r="P122" s="4">
        <f t="shared" si="148"/>
        <v>125</v>
      </c>
      <c r="Q122" s="4">
        <f t="shared" si="149"/>
        <v>125</v>
      </c>
      <c r="R122" s="4">
        <v>0</v>
      </c>
      <c r="S122" s="4">
        <v>0</v>
      </c>
      <c r="T122" s="4">
        <v>0</v>
      </c>
      <c r="U122" s="4">
        <f t="shared" si="94"/>
        <v>0</v>
      </c>
      <c r="V122" s="4">
        <f t="shared" si="95"/>
        <v>125</v>
      </c>
      <c r="W122" s="4">
        <v>0</v>
      </c>
      <c r="X122" s="67">
        <v>0</v>
      </c>
      <c r="Y122" s="4">
        <v>0</v>
      </c>
      <c r="Z122" s="4">
        <f t="shared" si="96"/>
        <v>125</v>
      </c>
      <c r="AA122" s="5"/>
      <c r="AB122" s="4">
        <f t="shared" si="92"/>
        <v>0</v>
      </c>
      <c r="AC122" s="4">
        <f t="shared" si="93"/>
        <v>100</v>
      </c>
    </row>
    <row r="123" spans="1:29" s="16" customFormat="1" ht="26.4" x14ac:dyDescent="0.25">
      <c r="A123" s="1" t="s">
        <v>163</v>
      </c>
      <c r="B123" s="7" t="s">
        <v>239</v>
      </c>
      <c r="C123" s="3" t="s">
        <v>164</v>
      </c>
      <c r="D123" s="4">
        <v>0</v>
      </c>
      <c r="E123" s="4">
        <v>0</v>
      </c>
      <c r="F123" s="4">
        <v>0</v>
      </c>
      <c r="G123" s="4">
        <v>0</v>
      </c>
      <c r="H123" s="4">
        <v>368000</v>
      </c>
      <c r="I123" s="4">
        <v>8618.75</v>
      </c>
      <c r="J123" s="4">
        <v>16355.07</v>
      </c>
      <c r="K123" s="4">
        <v>72471.77</v>
      </c>
      <c r="L123" s="4">
        <f t="shared" si="147"/>
        <v>97445.59</v>
      </c>
      <c r="M123" s="4">
        <v>48511.47</v>
      </c>
      <c r="N123" s="4">
        <v>8653.82</v>
      </c>
      <c r="O123" s="4">
        <v>5295.03</v>
      </c>
      <c r="P123" s="4">
        <f t="shared" si="148"/>
        <v>62460.32</v>
      </c>
      <c r="Q123" s="4">
        <f>L123+P123</f>
        <v>159905.91</v>
      </c>
      <c r="R123" s="4">
        <v>7294.41</v>
      </c>
      <c r="S123" s="4">
        <v>30.53</v>
      </c>
      <c r="T123" s="4">
        <v>199934.61</v>
      </c>
      <c r="U123" s="4">
        <f t="shared" si="94"/>
        <v>207259.55</v>
      </c>
      <c r="V123" s="4">
        <f t="shared" si="95"/>
        <v>367165.45999999996</v>
      </c>
      <c r="W123" s="4">
        <v>595.16</v>
      </c>
      <c r="X123" s="67">
        <v>283.27999999999997</v>
      </c>
      <c r="Y123" s="4">
        <v>35.159999999999997</v>
      </c>
      <c r="Z123" s="4">
        <f t="shared" si="96"/>
        <v>368079.05999999994</v>
      </c>
      <c r="AA123" s="5">
        <f t="shared" si="97"/>
        <v>99.77322282608695</v>
      </c>
      <c r="AB123" s="4">
        <f t="shared" si="92"/>
        <v>79.059999999939464</v>
      </c>
      <c r="AC123" s="4">
        <f t="shared" si="93"/>
        <v>100.02148369565217</v>
      </c>
    </row>
    <row r="124" spans="1:29" s="16" customFormat="1" ht="26.4" x14ac:dyDescent="0.25">
      <c r="A124" s="1" t="s">
        <v>163</v>
      </c>
      <c r="B124" s="7" t="s">
        <v>464</v>
      </c>
      <c r="C124" s="3" t="s">
        <v>164</v>
      </c>
      <c r="D124" s="4">
        <v>0</v>
      </c>
      <c r="E124" s="4">
        <v>1276.5</v>
      </c>
      <c r="F124" s="4">
        <v>1276.5</v>
      </c>
      <c r="G124" s="4">
        <v>1276.5</v>
      </c>
      <c r="H124" s="4">
        <v>1276.5</v>
      </c>
      <c r="I124" s="4">
        <v>0</v>
      </c>
      <c r="J124" s="4">
        <v>0</v>
      </c>
      <c r="K124" s="4">
        <v>1276.5</v>
      </c>
      <c r="L124" s="4">
        <f t="shared" si="147"/>
        <v>1276.5</v>
      </c>
      <c r="M124" s="4">
        <v>0</v>
      </c>
      <c r="N124" s="4">
        <v>0</v>
      </c>
      <c r="O124" s="4">
        <v>0</v>
      </c>
      <c r="P124" s="4">
        <f t="shared" si="148"/>
        <v>0</v>
      </c>
      <c r="Q124" s="4">
        <f t="shared" si="100"/>
        <v>1276.5</v>
      </c>
      <c r="R124" s="4">
        <v>0</v>
      </c>
      <c r="S124" s="4">
        <v>0</v>
      </c>
      <c r="T124" s="4">
        <v>0</v>
      </c>
      <c r="U124" s="4">
        <f t="shared" si="94"/>
        <v>0</v>
      </c>
      <c r="V124" s="4">
        <f t="shared" si="95"/>
        <v>1276.5</v>
      </c>
      <c r="W124" s="4">
        <v>0</v>
      </c>
      <c r="X124" s="67">
        <v>0</v>
      </c>
      <c r="Y124" s="4">
        <v>0</v>
      </c>
      <c r="Z124" s="4">
        <f t="shared" si="96"/>
        <v>1276.5</v>
      </c>
      <c r="AA124" s="5">
        <f t="shared" si="97"/>
        <v>100</v>
      </c>
      <c r="AB124" s="4">
        <f t="shared" si="92"/>
        <v>0</v>
      </c>
      <c r="AC124" s="4">
        <f t="shared" si="93"/>
        <v>100</v>
      </c>
    </row>
    <row r="125" spans="1:29" s="16" customFormat="1" ht="26.4" x14ac:dyDescent="0.25">
      <c r="A125" s="1" t="s">
        <v>163</v>
      </c>
      <c r="B125" s="7" t="s">
        <v>92</v>
      </c>
      <c r="C125" s="3" t="s">
        <v>164</v>
      </c>
      <c r="D125" s="4">
        <v>0</v>
      </c>
      <c r="E125" s="4">
        <v>0</v>
      </c>
      <c r="F125" s="4">
        <v>0</v>
      </c>
      <c r="G125" s="4">
        <v>0</v>
      </c>
      <c r="H125" s="4">
        <v>162216.79999999999</v>
      </c>
      <c r="I125" s="4">
        <v>0</v>
      </c>
      <c r="J125" s="4">
        <v>77.84</v>
      </c>
      <c r="K125" s="4">
        <v>0.27</v>
      </c>
      <c r="L125" s="4">
        <f t="shared" si="147"/>
        <v>78.11</v>
      </c>
      <c r="M125" s="4">
        <v>0</v>
      </c>
      <c r="N125" s="4">
        <v>0</v>
      </c>
      <c r="O125" s="4">
        <v>0</v>
      </c>
      <c r="P125" s="4">
        <f t="shared" si="148"/>
        <v>0</v>
      </c>
      <c r="Q125" s="4">
        <f t="shared" si="100"/>
        <v>78.11</v>
      </c>
      <c r="R125" s="4">
        <v>0</v>
      </c>
      <c r="S125" s="4">
        <v>0</v>
      </c>
      <c r="T125" s="4">
        <v>0</v>
      </c>
      <c r="U125" s="4">
        <f t="shared" si="94"/>
        <v>0</v>
      </c>
      <c r="V125" s="4">
        <f t="shared" si="95"/>
        <v>78.11</v>
      </c>
      <c r="W125" s="4">
        <v>159666.07999999999</v>
      </c>
      <c r="X125" s="67">
        <v>2472.61</v>
      </c>
      <c r="Y125" s="4">
        <v>0</v>
      </c>
      <c r="Z125" s="4">
        <f t="shared" si="96"/>
        <v>162216.79999999996</v>
      </c>
      <c r="AA125" s="5"/>
      <c r="AB125" s="4">
        <f t="shared" si="92"/>
        <v>0</v>
      </c>
      <c r="AC125" s="4">
        <f t="shared" si="93"/>
        <v>99.999999999999972</v>
      </c>
    </row>
    <row r="126" spans="1:29" s="16" customFormat="1" ht="39.6" x14ac:dyDescent="0.25">
      <c r="A126" s="1" t="s">
        <v>165</v>
      </c>
      <c r="B126" s="7" t="s">
        <v>92</v>
      </c>
      <c r="C126" s="3" t="s">
        <v>166</v>
      </c>
      <c r="D126" s="4">
        <v>605000</v>
      </c>
      <c r="E126" s="4">
        <v>605000</v>
      </c>
      <c r="F126" s="4">
        <v>605000</v>
      </c>
      <c r="G126" s="4">
        <f>605000+595000</f>
        <v>1200000</v>
      </c>
      <c r="H126" s="4">
        <v>3439741.9</v>
      </c>
      <c r="I126" s="4">
        <v>0</v>
      </c>
      <c r="J126" s="4">
        <v>0</v>
      </c>
      <c r="K126" s="4">
        <v>0</v>
      </c>
      <c r="L126" s="4">
        <f t="shared" si="147"/>
        <v>0</v>
      </c>
      <c r="M126" s="4">
        <v>591277</v>
      </c>
      <c r="N126" s="4">
        <v>34094</v>
      </c>
      <c r="O126" s="4">
        <v>592826</v>
      </c>
      <c r="P126" s="4">
        <f t="shared" si="148"/>
        <v>1218197</v>
      </c>
      <c r="Q126" s="4">
        <f t="shared" si="100"/>
        <v>1218197</v>
      </c>
      <c r="R126" s="4">
        <v>38637</v>
      </c>
      <c r="S126" s="4">
        <v>0</v>
      </c>
      <c r="T126" s="4">
        <v>327489</v>
      </c>
      <c r="U126" s="4">
        <f t="shared" si="94"/>
        <v>366126</v>
      </c>
      <c r="V126" s="4">
        <f t="shared" si="95"/>
        <v>1584323</v>
      </c>
      <c r="W126" s="4">
        <v>429158</v>
      </c>
      <c r="X126" s="67">
        <v>70528</v>
      </c>
      <c r="Y126" s="4">
        <v>1742484.9</v>
      </c>
      <c r="Z126" s="4">
        <f t="shared" si="96"/>
        <v>3826493.9</v>
      </c>
      <c r="AA126" s="5">
        <f t="shared" si="97"/>
        <v>46.059356953497002</v>
      </c>
      <c r="AB126" s="4">
        <f t="shared" si="92"/>
        <v>386752</v>
      </c>
      <c r="AC126" s="4">
        <f t="shared" si="93"/>
        <v>111.24363429709653</v>
      </c>
    </row>
    <row r="127" spans="1:29" s="16" customFormat="1" ht="26.4" x14ac:dyDescent="0.25">
      <c r="A127" s="34" t="s">
        <v>167</v>
      </c>
      <c r="B127" s="7" t="s">
        <v>92</v>
      </c>
      <c r="C127" s="3" t="s">
        <v>168</v>
      </c>
      <c r="D127" s="4">
        <v>506000</v>
      </c>
      <c r="E127" s="4">
        <v>506000</v>
      </c>
      <c r="F127" s="4">
        <v>506000</v>
      </c>
      <c r="G127" s="4">
        <v>506000</v>
      </c>
      <c r="H127" s="4">
        <v>947181</v>
      </c>
      <c r="I127" s="4">
        <v>78217</v>
      </c>
      <c r="J127" s="4">
        <v>49500</v>
      </c>
      <c r="K127" s="4">
        <v>47250</v>
      </c>
      <c r="L127" s="4">
        <f t="shared" si="147"/>
        <v>174967</v>
      </c>
      <c r="M127" s="4">
        <v>58950</v>
      </c>
      <c r="N127" s="4">
        <v>80550</v>
      </c>
      <c r="O127" s="4">
        <v>122310</v>
      </c>
      <c r="P127" s="4">
        <f t="shared" si="148"/>
        <v>261810</v>
      </c>
      <c r="Q127" s="4">
        <f t="shared" si="100"/>
        <v>436777</v>
      </c>
      <c r="R127" s="4">
        <v>78674</v>
      </c>
      <c r="S127" s="4">
        <v>89100</v>
      </c>
      <c r="T127" s="4">
        <v>111060</v>
      </c>
      <c r="U127" s="4">
        <f t="shared" si="94"/>
        <v>278834</v>
      </c>
      <c r="V127" s="4">
        <f t="shared" si="95"/>
        <v>715611</v>
      </c>
      <c r="W127" s="4">
        <v>62190</v>
      </c>
      <c r="X127" s="67">
        <v>73890</v>
      </c>
      <c r="Y127" s="4">
        <v>95490</v>
      </c>
      <c r="Z127" s="4">
        <f t="shared" si="96"/>
        <v>947181</v>
      </c>
      <c r="AA127" s="5">
        <f t="shared" si="97"/>
        <v>75.551663304056987</v>
      </c>
      <c r="AB127" s="4">
        <f t="shared" si="92"/>
        <v>0</v>
      </c>
      <c r="AC127" s="4">
        <f t="shared" si="93"/>
        <v>100</v>
      </c>
    </row>
    <row r="128" spans="1:29" s="16" customFormat="1" ht="26.4" x14ac:dyDescent="0.25">
      <c r="A128" s="19" t="s">
        <v>169</v>
      </c>
      <c r="B128" s="7" t="s">
        <v>5</v>
      </c>
      <c r="C128" s="3" t="s">
        <v>170</v>
      </c>
      <c r="D128" s="4">
        <f t="shared" ref="D128:G128" si="150">+D129+D134</f>
        <v>6671009</v>
      </c>
      <c r="E128" s="4">
        <f t="shared" si="150"/>
        <v>6671009</v>
      </c>
      <c r="F128" s="4">
        <f t="shared" si="150"/>
        <v>6671009</v>
      </c>
      <c r="G128" s="4">
        <f t="shared" si="150"/>
        <v>6671009</v>
      </c>
      <c r="H128" s="4">
        <f>+H129+H134+H132</f>
        <v>7127140.9199999999</v>
      </c>
      <c r="I128" s="4">
        <f t="shared" ref="I128:Z128" si="151">+I129+I134+I132</f>
        <v>33227.08</v>
      </c>
      <c r="J128" s="4">
        <f t="shared" si="151"/>
        <v>114716.14</v>
      </c>
      <c r="K128" s="4">
        <f t="shared" si="151"/>
        <v>1329317.57</v>
      </c>
      <c r="L128" s="4">
        <f t="shared" si="151"/>
        <v>1477260.7900000003</v>
      </c>
      <c r="M128" s="4">
        <f t="shared" si="151"/>
        <v>787090.58000000007</v>
      </c>
      <c r="N128" s="4">
        <f t="shared" si="151"/>
        <v>719954.40999999992</v>
      </c>
      <c r="O128" s="4">
        <f t="shared" si="151"/>
        <v>305681.81</v>
      </c>
      <c r="P128" s="4">
        <f t="shared" si="151"/>
        <v>1812726.8</v>
      </c>
      <c r="Q128" s="4">
        <f t="shared" si="151"/>
        <v>3289987.5900000003</v>
      </c>
      <c r="R128" s="4">
        <f t="shared" si="151"/>
        <v>709280.68</v>
      </c>
      <c r="S128" s="4">
        <f t="shared" si="151"/>
        <v>166374.51</v>
      </c>
      <c r="T128" s="4">
        <f t="shared" si="151"/>
        <v>192942.07999999999</v>
      </c>
      <c r="U128" s="4">
        <f t="shared" si="151"/>
        <v>1068597.27</v>
      </c>
      <c r="V128" s="4">
        <f t="shared" si="151"/>
        <v>4358584.8600000003</v>
      </c>
      <c r="W128" s="4">
        <f t="shared" si="151"/>
        <v>2063901.83</v>
      </c>
      <c r="X128" s="4">
        <f t="shared" si="151"/>
        <v>353546.04000000004</v>
      </c>
      <c r="Y128" s="4">
        <f t="shared" si="151"/>
        <v>527030.37</v>
      </c>
      <c r="Z128" s="4">
        <f t="shared" si="151"/>
        <v>7303063.1000000006</v>
      </c>
      <c r="AA128" s="5">
        <f t="shared" si="97"/>
        <v>61.154745064308344</v>
      </c>
      <c r="AB128" s="4">
        <f t="shared" si="92"/>
        <v>175922.18000000063</v>
      </c>
      <c r="AC128" s="4">
        <f t="shared" si="93"/>
        <v>102.468341540804</v>
      </c>
    </row>
    <row r="129" spans="1:29" s="16" customFormat="1" ht="66" x14ac:dyDescent="0.25">
      <c r="A129" s="19" t="s">
        <v>171</v>
      </c>
      <c r="B129" s="28" t="s">
        <v>5</v>
      </c>
      <c r="C129" s="28" t="s">
        <v>172</v>
      </c>
      <c r="D129" s="4">
        <f t="shared" ref="D129:T130" si="152">+D130</f>
        <v>1421433</v>
      </c>
      <c r="E129" s="4">
        <f t="shared" si="152"/>
        <v>1421433</v>
      </c>
      <c r="F129" s="4">
        <f t="shared" si="152"/>
        <v>1421433</v>
      </c>
      <c r="G129" s="4">
        <f t="shared" si="152"/>
        <v>1421433</v>
      </c>
      <c r="H129" s="4">
        <f t="shared" si="152"/>
        <v>357458</v>
      </c>
      <c r="I129" s="4">
        <f t="shared" si="152"/>
        <v>27458.29</v>
      </c>
      <c r="J129" s="4">
        <f t="shared" si="152"/>
        <v>0</v>
      </c>
      <c r="K129" s="4">
        <f t="shared" si="152"/>
        <v>60000</v>
      </c>
      <c r="L129" s="4">
        <f t="shared" si="152"/>
        <v>87458.290000000008</v>
      </c>
      <c r="M129" s="4">
        <f t="shared" si="152"/>
        <v>30000</v>
      </c>
      <c r="N129" s="4">
        <f t="shared" si="152"/>
        <v>30000</v>
      </c>
      <c r="O129" s="4">
        <f t="shared" si="152"/>
        <v>30000</v>
      </c>
      <c r="P129" s="4">
        <f t="shared" si="152"/>
        <v>90000</v>
      </c>
      <c r="Q129" s="4">
        <f t="shared" si="100"/>
        <v>177458.29</v>
      </c>
      <c r="R129" s="4">
        <f t="shared" si="152"/>
        <v>30000</v>
      </c>
      <c r="S129" s="4">
        <f t="shared" si="152"/>
        <v>30000</v>
      </c>
      <c r="T129" s="4">
        <f t="shared" si="152"/>
        <v>30000</v>
      </c>
      <c r="U129" s="4">
        <f t="shared" si="94"/>
        <v>90000</v>
      </c>
      <c r="V129" s="4">
        <f t="shared" si="95"/>
        <v>267458.29000000004</v>
      </c>
      <c r="W129" s="4">
        <f t="shared" ref="W129:Y130" si="153">+W130</f>
        <v>0</v>
      </c>
      <c r="X129" s="67">
        <f t="shared" si="153"/>
        <v>60000</v>
      </c>
      <c r="Y129" s="4">
        <f t="shared" si="153"/>
        <v>30000</v>
      </c>
      <c r="Z129" s="4">
        <f t="shared" si="96"/>
        <v>357458.29000000004</v>
      </c>
      <c r="AA129" s="5">
        <f t="shared" si="97"/>
        <v>74.822298004241077</v>
      </c>
      <c r="AB129" s="4">
        <f t="shared" si="92"/>
        <v>0.2900000000372529</v>
      </c>
      <c r="AC129" s="4">
        <f t="shared" si="93"/>
        <v>100.0000811284123</v>
      </c>
    </row>
    <row r="130" spans="1:29" s="16" customFormat="1" ht="79.2" x14ac:dyDescent="0.25">
      <c r="A130" s="19" t="s">
        <v>173</v>
      </c>
      <c r="B130" s="28" t="s">
        <v>5</v>
      </c>
      <c r="C130" s="28" t="s">
        <v>174</v>
      </c>
      <c r="D130" s="4">
        <f t="shared" si="152"/>
        <v>1421433</v>
      </c>
      <c r="E130" s="4">
        <f t="shared" si="152"/>
        <v>1421433</v>
      </c>
      <c r="F130" s="4">
        <f t="shared" si="152"/>
        <v>1421433</v>
      </c>
      <c r="G130" s="4">
        <f t="shared" si="152"/>
        <v>1421433</v>
      </c>
      <c r="H130" s="4">
        <f t="shared" si="152"/>
        <v>357458</v>
      </c>
      <c r="I130" s="4">
        <f t="shared" si="152"/>
        <v>27458.29</v>
      </c>
      <c r="J130" s="4">
        <f t="shared" si="152"/>
        <v>0</v>
      </c>
      <c r="K130" s="4">
        <f t="shared" si="152"/>
        <v>60000</v>
      </c>
      <c r="L130" s="4">
        <f t="shared" si="152"/>
        <v>87458.290000000008</v>
      </c>
      <c r="M130" s="4">
        <f t="shared" si="152"/>
        <v>30000</v>
      </c>
      <c r="N130" s="4">
        <f t="shared" si="152"/>
        <v>30000</v>
      </c>
      <c r="O130" s="4">
        <f t="shared" si="152"/>
        <v>30000</v>
      </c>
      <c r="P130" s="4">
        <f t="shared" si="152"/>
        <v>90000</v>
      </c>
      <c r="Q130" s="4">
        <f t="shared" si="100"/>
        <v>177458.29</v>
      </c>
      <c r="R130" s="4">
        <f t="shared" si="152"/>
        <v>30000</v>
      </c>
      <c r="S130" s="4">
        <f t="shared" si="152"/>
        <v>30000</v>
      </c>
      <c r="T130" s="4">
        <f t="shared" si="152"/>
        <v>30000</v>
      </c>
      <c r="U130" s="4">
        <f t="shared" si="94"/>
        <v>90000</v>
      </c>
      <c r="V130" s="4">
        <f t="shared" si="95"/>
        <v>267458.29000000004</v>
      </c>
      <c r="W130" s="4">
        <f t="shared" si="153"/>
        <v>0</v>
      </c>
      <c r="X130" s="67">
        <f t="shared" si="153"/>
        <v>60000</v>
      </c>
      <c r="Y130" s="4">
        <f t="shared" si="153"/>
        <v>30000</v>
      </c>
      <c r="Z130" s="4">
        <f t="shared" si="96"/>
        <v>357458.29000000004</v>
      </c>
      <c r="AA130" s="5">
        <f t="shared" si="97"/>
        <v>74.822298004241077</v>
      </c>
      <c r="AB130" s="4">
        <f t="shared" si="92"/>
        <v>0.2900000000372529</v>
      </c>
      <c r="AC130" s="4">
        <f t="shared" si="93"/>
        <v>100.0000811284123</v>
      </c>
    </row>
    <row r="131" spans="1:29" s="16" customFormat="1" ht="79.2" x14ac:dyDescent="0.25">
      <c r="A131" s="19" t="s">
        <v>175</v>
      </c>
      <c r="B131" s="28" t="s">
        <v>87</v>
      </c>
      <c r="C131" s="28" t="s">
        <v>176</v>
      </c>
      <c r="D131" s="4">
        <v>1421433</v>
      </c>
      <c r="E131" s="4">
        <v>1421433</v>
      </c>
      <c r="F131" s="4">
        <v>1421433</v>
      </c>
      <c r="G131" s="4">
        <v>1421433</v>
      </c>
      <c r="H131" s="4">
        <v>357458</v>
      </c>
      <c r="I131" s="4">
        <v>27458.29</v>
      </c>
      <c r="J131" s="4">
        <v>0</v>
      </c>
      <c r="K131" s="4">
        <v>60000</v>
      </c>
      <c r="L131" s="4">
        <f>I131+J131+K131</f>
        <v>87458.290000000008</v>
      </c>
      <c r="M131" s="4">
        <v>30000</v>
      </c>
      <c r="N131" s="4">
        <v>30000</v>
      </c>
      <c r="O131" s="4">
        <v>30000</v>
      </c>
      <c r="P131" s="4">
        <f>M131+N131+O131</f>
        <v>90000</v>
      </c>
      <c r="Q131" s="4">
        <f t="shared" si="100"/>
        <v>177458.29</v>
      </c>
      <c r="R131" s="4">
        <v>30000</v>
      </c>
      <c r="S131" s="4">
        <v>30000</v>
      </c>
      <c r="T131" s="4">
        <v>30000</v>
      </c>
      <c r="U131" s="4">
        <f t="shared" si="94"/>
        <v>90000</v>
      </c>
      <c r="V131" s="4">
        <f t="shared" si="95"/>
        <v>267458.29000000004</v>
      </c>
      <c r="W131" s="4">
        <v>0</v>
      </c>
      <c r="X131" s="67">
        <v>60000</v>
      </c>
      <c r="Y131" s="4">
        <v>30000</v>
      </c>
      <c r="Z131" s="4">
        <f t="shared" si="96"/>
        <v>357458.29000000004</v>
      </c>
      <c r="AA131" s="5">
        <f t="shared" si="97"/>
        <v>74.822298004241077</v>
      </c>
      <c r="AB131" s="4">
        <f t="shared" si="92"/>
        <v>0.2900000000372529</v>
      </c>
      <c r="AC131" s="4">
        <f t="shared" si="93"/>
        <v>100.0000811284123</v>
      </c>
    </row>
    <row r="132" spans="1:29" s="16" customFormat="1" ht="39.6" x14ac:dyDescent="0.25">
      <c r="A132" s="19" t="s">
        <v>586</v>
      </c>
      <c r="B132" s="28" t="s">
        <v>5</v>
      </c>
      <c r="C132" s="28" t="s">
        <v>588</v>
      </c>
      <c r="D132" s="4"/>
      <c r="E132" s="4"/>
      <c r="F132" s="4"/>
      <c r="G132" s="4"/>
      <c r="H132" s="4">
        <f>+H133</f>
        <v>567106.92000000004</v>
      </c>
      <c r="I132" s="4">
        <f t="shared" ref="I132:Z132" si="154">+I133</f>
        <v>0</v>
      </c>
      <c r="J132" s="4">
        <f t="shared" si="154"/>
        <v>0</v>
      </c>
      <c r="K132" s="4">
        <f t="shared" si="154"/>
        <v>0</v>
      </c>
      <c r="L132" s="4">
        <f t="shared" si="154"/>
        <v>0</v>
      </c>
      <c r="M132" s="4">
        <f t="shared" si="154"/>
        <v>0</v>
      </c>
      <c r="N132" s="4">
        <f t="shared" si="154"/>
        <v>0</v>
      </c>
      <c r="O132" s="4">
        <f t="shared" si="154"/>
        <v>0</v>
      </c>
      <c r="P132" s="4">
        <f t="shared" si="154"/>
        <v>0</v>
      </c>
      <c r="Q132" s="4">
        <f t="shared" si="154"/>
        <v>0</v>
      </c>
      <c r="R132" s="4">
        <f t="shared" si="154"/>
        <v>0</v>
      </c>
      <c r="S132" s="4">
        <f t="shared" si="154"/>
        <v>0</v>
      </c>
      <c r="T132" s="4">
        <f t="shared" si="154"/>
        <v>0</v>
      </c>
      <c r="U132" s="4">
        <f t="shared" si="154"/>
        <v>0</v>
      </c>
      <c r="V132" s="4">
        <f t="shared" si="154"/>
        <v>0</v>
      </c>
      <c r="W132" s="4">
        <f t="shared" si="154"/>
        <v>340000</v>
      </c>
      <c r="X132" s="4">
        <f t="shared" si="154"/>
        <v>227106.92</v>
      </c>
      <c r="Y132" s="4">
        <f t="shared" si="154"/>
        <v>0</v>
      </c>
      <c r="Z132" s="4">
        <f t="shared" si="154"/>
        <v>567106.92000000004</v>
      </c>
      <c r="AA132" s="5"/>
      <c r="AB132" s="4">
        <f t="shared" si="92"/>
        <v>0</v>
      </c>
      <c r="AC132" s="4">
        <f t="shared" si="93"/>
        <v>100</v>
      </c>
    </row>
    <row r="133" spans="1:29" s="16" customFormat="1" ht="39.6" x14ac:dyDescent="0.25">
      <c r="A133" s="19" t="s">
        <v>587</v>
      </c>
      <c r="B133" s="28" t="s">
        <v>92</v>
      </c>
      <c r="C133" s="28" t="s">
        <v>589</v>
      </c>
      <c r="D133" s="4"/>
      <c r="E133" s="4"/>
      <c r="F133" s="4"/>
      <c r="G133" s="4"/>
      <c r="H133" s="4">
        <f>340000+227106.92</f>
        <v>567106.92000000004</v>
      </c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>
        <v>0</v>
      </c>
      <c r="U133" s="4"/>
      <c r="V133" s="4"/>
      <c r="W133" s="4">
        <v>340000</v>
      </c>
      <c r="X133" s="67">
        <v>227106.92</v>
      </c>
      <c r="Y133" s="4">
        <v>0</v>
      </c>
      <c r="Z133" s="4">
        <f t="shared" si="96"/>
        <v>567106.92000000004</v>
      </c>
      <c r="AA133" s="5"/>
      <c r="AB133" s="4">
        <f t="shared" si="92"/>
        <v>0</v>
      </c>
      <c r="AC133" s="4">
        <f t="shared" si="93"/>
        <v>100</v>
      </c>
    </row>
    <row r="134" spans="1:29" s="16" customFormat="1" ht="26.4" x14ac:dyDescent="0.25">
      <c r="A134" s="19" t="s">
        <v>177</v>
      </c>
      <c r="B134" s="28" t="s">
        <v>5</v>
      </c>
      <c r="C134" s="29" t="s">
        <v>178</v>
      </c>
      <c r="D134" s="4">
        <f t="shared" ref="D134:P134" si="155">+D135+D137</f>
        <v>5249576</v>
      </c>
      <c r="E134" s="4">
        <f t="shared" si="155"/>
        <v>5249576</v>
      </c>
      <c r="F134" s="4">
        <f t="shared" si="155"/>
        <v>5249576</v>
      </c>
      <c r="G134" s="4">
        <f t="shared" si="155"/>
        <v>5249576</v>
      </c>
      <c r="H134" s="4">
        <f t="shared" si="155"/>
        <v>6202576</v>
      </c>
      <c r="I134" s="4">
        <f t="shared" si="155"/>
        <v>5768.79</v>
      </c>
      <c r="J134" s="4">
        <f t="shared" si="155"/>
        <v>114716.14</v>
      </c>
      <c r="K134" s="4">
        <f t="shared" si="155"/>
        <v>1269317.57</v>
      </c>
      <c r="L134" s="4">
        <f t="shared" si="155"/>
        <v>1389802.5000000002</v>
      </c>
      <c r="M134" s="4">
        <f t="shared" si="155"/>
        <v>757090.58000000007</v>
      </c>
      <c r="N134" s="4">
        <f t="shared" si="155"/>
        <v>689954.40999999992</v>
      </c>
      <c r="O134" s="4">
        <f t="shared" si="155"/>
        <v>275681.81</v>
      </c>
      <c r="P134" s="4">
        <f t="shared" si="155"/>
        <v>1722726.8</v>
      </c>
      <c r="Q134" s="4">
        <f t="shared" si="100"/>
        <v>3112529.3000000003</v>
      </c>
      <c r="R134" s="4">
        <f t="shared" ref="R134:T134" si="156">+R135+R137</f>
        <v>679280.68</v>
      </c>
      <c r="S134" s="4">
        <f t="shared" si="156"/>
        <v>136374.51</v>
      </c>
      <c r="T134" s="4">
        <f t="shared" si="156"/>
        <v>162942.07999999999</v>
      </c>
      <c r="U134" s="4">
        <f t="shared" si="94"/>
        <v>978597.27</v>
      </c>
      <c r="V134" s="4">
        <f t="shared" si="95"/>
        <v>4091126.5700000003</v>
      </c>
      <c r="W134" s="4">
        <f t="shared" ref="W134:Y134" si="157">+W135+W137</f>
        <v>1723901.83</v>
      </c>
      <c r="X134" s="67">
        <f t="shared" si="157"/>
        <v>66439.12</v>
      </c>
      <c r="Y134" s="4">
        <f t="shared" si="157"/>
        <v>497030.37</v>
      </c>
      <c r="Z134" s="4">
        <f t="shared" si="96"/>
        <v>6378497.8900000006</v>
      </c>
      <c r="AA134" s="5">
        <f t="shared" si="97"/>
        <v>65.958507723242732</v>
      </c>
      <c r="AB134" s="4">
        <f t="shared" si="92"/>
        <v>175921.8900000006</v>
      </c>
      <c r="AC134" s="4">
        <f t="shared" si="93"/>
        <v>102.8362714136836</v>
      </c>
    </row>
    <row r="135" spans="1:29" s="16" customFormat="1" ht="26.4" x14ac:dyDescent="0.25">
      <c r="A135" s="19" t="s">
        <v>179</v>
      </c>
      <c r="B135" s="28" t="s">
        <v>5</v>
      </c>
      <c r="C135" s="29" t="s">
        <v>180</v>
      </c>
      <c r="D135" s="4">
        <f t="shared" ref="D135:T135" si="158">+D136</f>
        <v>4189422</v>
      </c>
      <c r="E135" s="4">
        <f t="shared" si="158"/>
        <v>4189422</v>
      </c>
      <c r="F135" s="4">
        <f t="shared" si="158"/>
        <v>4189422</v>
      </c>
      <c r="G135" s="4">
        <f t="shared" si="158"/>
        <v>4189422</v>
      </c>
      <c r="H135" s="4">
        <f t="shared" si="158"/>
        <v>5392422</v>
      </c>
      <c r="I135" s="4">
        <f t="shared" si="158"/>
        <v>5768.79</v>
      </c>
      <c r="J135" s="4">
        <f t="shared" si="158"/>
        <v>106271.52</v>
      </c>
      <c r="K135" s="4">
        <f t="shared" si="158"/>
        <v>1269317.57</v>
      </c>
      <c r="L135" s="4">
        <f t="shared" si="158"/>
        <v>1381357.8800000001</v>
      </c>
      <c r="M135" s="4">
        <f t="shared" si="158"/>
        <v>605653.67000000004</v>
      </c>
      <c r="N135" s="4">
        <f t="shared" si="158"/>
        <v>193750.18</v>
      </c>
      <c r="O135" s="4">
        <f t="shared" si="158"/>
        <v>155432.24</v>
      </c>
      <c r="P135" s="4">
        <f t="shared" si="158"/>
        <v>954836.09000000008</v>
      </c>
      <c r="Q135" s="4">
        <f t="shared" si="100"/>
        <v>2336193.9700000002</v>
      </c>
      <c r="R135" s="4">
        <f t="shared" si="158"/>
        <v>679280.68</v>
      </c>
      <c r="S135" s="4">
        <f t="shared" si="158"/>
        <v>131629.03</v>
      </c>
      <c r="T135" s="4">
        <f t="shared" si="158"/>
        <v>162942.07999999999</v>
      </c>
      <c r="U135" s="4">
        <f t="shared" si="94"/>
        <v>973851.79</v>
      </c>
      <c r="V135" s="4">
        <f t="shared" si="95"/>
        <v>3310045.7600000002</v>
      </c>
      <c r="W135" s="4">
        <f t="shared" ref="W135:Y135" si="159">+W136</f>
        <v>1722854.08</v>
      </c>
      <c r="X135" s="67">
        <f t="shared" si="159"/>
        <v>66439.12</v>
      </c>
      <c r="Y135" s="4">
        <f t="shared" si="159"/>
        <v>495019.29</v>
      </c>
      <c r="Z135" s="4">
        <f t="shared" si="96"/>
        <v>5594358.25</v>
      </c>
      <c r="AA135" s="5">
        <f t="shared" si="97"/>
        <v>61.383284913532364</v>
      </c>
      <c r="AB135" s="4">
        <f t="shared" si="92"/>
        <v>201936.25</v>
      </c>
      <c r="AC135" s="4">
        <f t="shared" si="93"/>
        <v>103.74481540947649</v>
      </c>
    </row>
    <row r="136" spans="1:29" s="16" customFormat="1" ht="39.6" x14ac:dyDescent="0.25">
      <c r="A136" s="19" t="s">
        <v>181</v>
      </c>
      <c r="B136" s="28" t="s">
        <v>87</v>
      </c>
      <c r="C136" s="29" t="s">
        <v>182</v>
      </c>
      <c r="D136" s="4">
        <v>4189422</v>
      </c>
      <c r="E136" s="4">
        <v>4189422</v>
      </c>
      <c r="F136" s="4">
        <v>4189422</v>
      </c>
      <c r="G136" s="4">
        <v>4189422</v>
      </c>
      <c r="H136" s="4">
        <v>5392422</v>
      </c>
      <c r="I136" s="4">
        <v>5768.79</v>
      </c>
      <c r="J136" s="4">
        <v>106271.52</v>
      </c>
      <c r="K136" s="4">
        <v>1269317.57</v>
      </c>
      <c r="L136" s="4">
        <f>I136+J136+K136</f>
        <v>1381357.8800000001</v>
      </c>
      <c r="M136" s="4">
        <v>605653.67000000004</v>
      </c>
      <c r="N136" s="4">
        <v>193750.18</v>
      </c>
      <c r="O136" s="4">
        <v>155432.24</v>
      </c>
      <c r="P136" s="4">
        <f>M136+N136+O136</f>
        <v>954836.09000000008</v>
      </c>
      <c r="Q136" s="4">
        <f t="shared" si="100"/>
        <v>2336193.9700000002</v>
      </c>
      <c r="R136" s="4">
        <v>679280.68</v>
      </c>
      <c r="S136" s="4">
        <v>131629.03</v>
      </c>
      <c r="T136" s="4">
        <v>162942.07999999999</v>
      </c>
      <c r="U136" s="4">
        <f t="shared" si="94"/>
        <v>973851.79</v>
      </c>
      <c r="V136" s="4">
        <f t="shared" si="95"/>
        <v>3310045.7600000002</v>
      </c>
      <c r="W136" s="4">
        <v>1722854.08</v>
      </c>
      <c r="X136" s="67">
        <v>66439.12</v>
      </c>
      <c r="Y136" s="4">
        <v>495019.29</v>
      </c>
      <c r="Z136" s="4">
        <f t="shared" si="96"/>
        <v>5594358.25</v>
      </c>
      <c r="AA136" s="5">
        <f t="shared" si="97"/>
        <v>61.383284913532364</v>
      </c>
      <c r="AB136" s="4">
        <f t="shared" si="92"/>
        <v>201936.25</v>
      </c>
      <c r="AC136" s="4">
        <f t="shared" si="93"/>
        <v>103.74481540947649</v>
      </c>
    </row>
    <row r="137" spans="1:29" s="16" customFormat="1" ht="39.6" x14ac:dyDescent="0.25">
      <c r="A137" s="19" t="s">
        <v>183</v>
      </c>
      <c r="B137" s="28" t="s">
        <v>5</v>
      </c>
      <c r="C137" s="29" t="s">
        <v>184</v>
      </c>
      <c r="D137" s="4">
        <f t="shared" ref="D137:T137" si="160">+D138</f>
        <v>1060154</v>
      </c>
      <c r="E137" s="4">
        <f t="shared" si="160"/>
        <v>1060154</v>
      </c>
      <c r="F137" s="4">
        <f t="shared" si="160"/>
        <v>1060154</v>
      </c>
      <c r="G137" s="4">
        <f t="shared" si="160"/>
        <v>1060154</v>
      </c>
      <c r="H137" s="4">
        <f t="shared" si="160"/>
        <v>810154</v>
      </c>
      <c r="I137" s="4">
        <f t="shared" si="160"/>
        <v>0</v>
      </c>
      <c r="J137" s="4">
        <f t="shared" si="160"/>
        <v>8444.6200000000008</v>
      </c>
      <c r="K137" s="4">
        <f t="shared" si="160"/>
        <v>0</v>
      </c>
      <c r="L137" s="4">
        <f t="shared" si="160"/>
        <v>8444.6200000000008</v>
      </c>
      <c r="M137" s="4">
        <f t="shared" si="160"/>
        <v>151436.91</v>
      </c>
      <c r="N137" s="4">
        <f t="shared" si="160"/>
        <v>496204.23</v>
      </c>
      <c r="O137" s="4">
        <f t="shared" si="160"/>
        <v>120249.57</v>
      </c>
      <c r="P137" s="4">
        <f t="shared" si="160"/>
        <v>767890.71</v>
      </c>
      <c r="Q137" s="4">
        <f t="shared" si="100"/>
        <v>776335.33</v>
      </c>
      <c r="R137" s="4">
        <f t="shared" si="160"/>
        <v>0</v>
      </c>
      <c r="S137" s="4">
        <f t="shared" si="160"/>
        <v>4745.4799999999996</v>
      </c>
      <c r="T137" s="4">
        <f t="shared" si="160"/>
        <v>0</v>
      </c>
      <c r="U137" s="4">
        <f t="shared" si="94"/>
        <v>4745.4799999999996</v>
      </c>
      <c r="V137" s="4">
        <f t="shared" si="95"/>
        <v>781080.80999999994</v>
      </c>
      <c r="W137" s="4">
        <f t="shared" ref="W137:Y137" si="161">+W138</f>
        <v>1047.75</v>
      </c>
      <c r="X137" s="67">
        <f t="shared" si="161"/>
        <v>0</v>
      </c>
      <c r="Y137" s="4">
        <f t="shared" si="161"/>
        <v>2011.08</v>
      </c>
      <c r="Z137" s="4">
        <f t="shared" si="96"/>
        <v>784139.6399999999</v>
      </c>
      <c r="AA137" s="5">
        <f t="shared" si="97"/>
        <v>96.411399561071093</v>
      </c>
      <c r="AB137" s="4">
        <f t="shared" si="92"/>
        <v>-26014.360000000102</v>
      </c>
      <c r="AC137" s="4">
        <f t="shared" si="93"/>
        <v>96.788961111097379</v>
      </c>
    </row>
    <row r="138" spans="1:29" s="16" customFormat="1" ht="39.6" x14ac:dyDescent="0.25">
      <c r="A138" s="19" t="s">
        <v>185</v>
      </c>
      <c r="B138" s="28" t="s">
        <v>87</v>
      </c>
      <c r="C138" s="29" t="s">
        <v>186</v>
      </c>
      <c r="D138" s="4">
        <v>1060154</v>
      </c>
      <c r="E138" s="4">
        <v>1060154</v>
      </c>
      <c r="F138" s="4">
        <v>1060154</v>
      </c>
      <c r="G138" s="4">
        <v>1060154</v>
      </c>
      <c r="H138" s="4">
        <v>810154</v>
      </c>
      <c r="I138" s="4">
        <v>0</v>
      </c>
      <c r="J138" s="4">
        <v>8444.6200000000008</v>
      </c>
      <c r="K138" s="4">
        <v>0</v>
      </c>
      <c r="L138" s="4">
        <f>I138+J138+K138</f>
        <v>8444.6200000000008</v>
      </c>
      <c r="M138" s="4">
        <v>151436.91</v>
      </c>
      <c r="N138" s="4">
        <v>496204.23</v>
      </c>
      <c r="O138" s="4">
        <v>120249.57</v>
      </c>
      <c r="P138" s="4">
        <f>M138+N138+O138</f>
        <v>767890.71</v>
      </c>
      <c r="Q138" s="4">
        <f t="shared" si="100"/>
        <v>776335.33</v>
      </c>
      <c r="R138" s="4">
        <v>0</v>
      </c>
      <c r="S138" s="4">
        <v>4745.4799999999996</v>
      </c>
      <c r="T138" s="4">
        <v>0</v>
      </c>
      <c r="U138" s="4">
        <f t="shared" si="94"/>
        <v>4745.4799999999996</v>
      </c>
      <c r="V138" s="4">
        <f t="shared" si="95"/>
        <v>781080.80999999994</v>
      </c>
      <c r="W138" s="4">
        <v>1047.75</v>
      </c>
      <c r="X138" s="67">
        <v>0</v>
      </c>
      <c r="Y138" s="4">
        <v>2011.08</v>
      </c>
      <c r="Z138" s="4">
        <f t="shared" si="96"/>
        <v>784139.6399999999</v>
      </c>
      <c r="AA138" s="5">
        <f t="shared" si="97"/>
        <v>96.411399561071093</v>
      </c>
      <c r="AB138" s="4">
        <f t="shared" si="92"/>
        <v>-26014.360000000102</v>
      </c>
      <c r="AC138" s="4">
        <f t="shared" si="93"/>
        <v>96.788961111097379</v>
      </c>
    </row>
    <row r="139" spans="1:29" s="16" customFormat="1" ht="15.6" customHeight="1" x14ac:dyDescent="0.25">
      <c r="A139" s="19" t="s">
        <v>187</v>
      </c>
      <c r="B139" s="7" t="s">
        <v>5</v>
      </c>
      <c r="C139" s="3" t="s">
        <v>188</v>
      </c>
      <c r="D139" s="4">
        <f t="shared" ref="D139:P139" si="162">D140+D175+D177+D189+D209</f>
        <v>8499260</v>
      </c>
      <c r="E139" s="4">
        <f t="shared" si="162"/>
        <v>17054248.5</v>
      </c>
      <c r="F139" s="4">
        <f t="shared" si="162"/>
        <v>17054248.5</v>
      </c>
      <c r="G139" s="4">
        <f t="shared" si="162"/>
        <v>17061193.5</v>
      </c>
      <c r="H139" s="4">
        <f>H140+H175+H177+H189+H209</f>
        <v>17104664.109999999</v>
      </c>
      <c r="I139" s="4">
        <f t="shared" si="162"/>
        <v>184829.62</v>
      </c>
      <c r="J139" s="4">
        <f t="shared" si="162"/>
        <v>4123342.34</v>
      </c>
      <c r="K139" s="4">
        <f t="shared" si="162"/>
        <v>3842805.36</v>
      </c>
      <c r="L139" s="4">
        <f t="shared" si="162"/>
        <v>8150977.3199999984</v>
      </c>
      <c r="M139" s="4">
        <f t="shared" si="162"/>
        <v>435048.87</v>
      </c>
      <c r="N139" s="4">
        <f t="shared" si="162"/>
        <v>931569.24</v>
      </c>
      <c r="O139" s="4">
        <f t="shared" si="162"/>
        <v>1330021.29</v>
      </c>
      <c r="P139" s="4">
        <f t="shared" si="162"/>
        <v>2696639.4</v>
      </c>
      <c r="Q139" s="4">
        <f t="shared" si="100"/>
        <v>10847616.719999999</v>
      </c>
      <c r="R139" s="4">
        <f>R140+R175+R177+R189+R209</f>
        <v>992018.58</v>
      </c>
      <c r="S139" s="4">
        <f>S140+S175+S177+S189+S209</f>
        <v>1076631.55</v>
      </c>
      <c r="T139" s="4">
        <f>T140+T175+T177+T189+T209</f>
        <v>1171252.1199999999</v>
      </c>
      <c r="U139" s="4">
        <f t="shared" si="94"/>
        <v>3239902.25</v>
      </c>
      <c r="V139" s="4">
        <f t="shared" si="95"/>
        <v>14087518.969999999</v>
      </c>
      <c r="W139" s="4">
        <f>W140+W175+W177+W189+W209</f>
        <v>843303.45</v>
      </c>
      <c r="X139" s="67">
        <f>X140+X175+X177+X189+X209</f>
        <v>740093.59000000008</v>
      </c>
      <c r="Y139" s="4">
        <f>Y140+Y175+Y177+Y189+Y209</f>
        <v>831534.62</v>
      </c>
      <c r="Z139" s="4">
        <f t="shared" si="96"/>
        <v>16502450.629999997</v>
      </c>
      <c r="AA139" s="5">
        <f t="shared" si="97"/>
        <v>82.360687584411139</v>
      </c>
      <c r="AB139" s="4">
        <f t="shared" si="92"/>
        <v>-602213.48000000231</v>
      </c>
      <c r="AC139" s="4">
        <f t="shared" si="93"/>
        <v>96.479244046377232</v>
      </c>
    </row>
    <row r="140" spans="1:29" s="16" customFormat="1" ht="26.4" x14ac:dyDescent="0.25">
      <c r="A140" s="19" t="s">
        <v>189</v>
      </c>
      <c r="B140" s="7" t="s">
        <v>5</v>
      </c>
      <c r="C140" s="3" t="s">
        <v>190</v>
      </c>
      <c r="D140" s="4">
        <f>+D141+D144+D147+D162+D169+D172+D150+D156+D160+D167+D158</f>
        <v>1728100</v>
      </c>
      <c r="E140" s="4">
        <f>+E141+E144+E147+E162+E169+E172+E150+E156+E160+E167+E158</f>
        <v>2381204.5</v>
      </c>
      <c r="F140" s="4">
        <f>+F141+F144+F147+F162+F169+F172+F150+F156+F160+F167+F158</f>
        <v>2381204.5</v>
      </c>
      <c r="G140" s="4">
        <f>+G141+G144+G147+G162+G169+G172+G150+G156+G160+G167+G158</f>
        <v>2381204.5</v>
      </c>
      <c r="H140" s="4">
        <f>+H141+H144+H147+H162+H169+H172+H150+H156+H160+H167+H158+H152+H165+H154</f>
        <v>4326411.8899999997</v>
      </c>
      <c r="I140" s="4">
        <f t="shared" ref="I140:Z140" si="163">+I141+I144+I147+I162+I169+I172+I150+I156+I160+I167+I158+I152+I165+I154</f>
        <v>110991.59</v>
      </c>
      <c r="J140" s="4">
        <f t="shared" si="163"/>
        <v>281521.46999999997</v>
      </c>
      <c r="K140" s="4">
        <f t="shared" si="163"/>
        <v>812748.58</v>
      </c>
      <c r="L140" s="4">
        <f t="shared" si="163"/>
        <v>1205261.6399999997</v>
      </c>
      <c r="M140" s="4">
        <f t="shared" si="163"/>
        <v>301578.23999999999</v>
      </c>
      <c r="N140" s="4">
        <f t="shared" si="163"/>
        <v>491848.68999999994</v>
      </c>
      <c r="O140" s="4">
        <f t="shared" si="163"/>
        <v>293958.75000000006</v>
      </c>
      <c r="P140" s="4">
        <f t="shared" si="163"/>
        <v>1087385.68</v>
      </c>
      <c r="Q140" s="4">
        <f t="shared" si="163"/>
        <v>2292647.3200000003</v>
      </c>
      <c r="R140" s="4">
        <f t="shared" si="163"/>
        <v>124940.95999999999</v>
      </c>
      <c r="S140" s="4">
        <f t="shared" si="163"/>
        <v>350341.58999999997</v>
      </c>
      <c r="T140" s="4">
        <f t="shared" si="163"/>
        <v>263702.96999999997</v>
      </c>
      <c r="U140" s="4">
        <f t="shared" si="163"/>
        <v>738985.52</v>
      </c>
      <c r="V140" s="4">
        <f t="shared" si="163"/>
        <v>3031632.84</v>
      </c>
      <c r="W140" s="4">
        <f t="shared" si="163"/>
        <v>553087.71</v>
      </c>
      <c r="X140" s="4">
        <f t="shared" si="163"/>
        <v>141031.04999999999</v>
      </c>
      <c r="Y140" s="4">
        <f t="shared" si="163"/>
        <v>472430.50999999995</v>
      </c>
      <c r="Z140" s="4">
        <f t="shared" si="163"/>
        <v>4198182.1100000003</v>
      </c>
      <c r="AA140" s="5">
        <f t="shared" si="97"/>
        <v>70.072681868484793</v>
      </c>
      <c r="AB140" s="4">
        <f t="shared" ref="AB140:AB203" si="164">Z140-H140</f>
        <v>-128229.77999999933</v>
      </c>
      <c r="AC140" s="4">
        <f t="shared" ref="AC140:AC203" si="165">Z140/H140*100</f>
        <v>97.036117150648835</v>
      </c>
    </row>
    <row r="141" spans="1:29" s="16" customFormat="1" ht="45" customHeight="1" x14ac:dyDescent="0.25">
      <c r="A141" s="19" t="s">
        <v>191</v>
      </c>
      <c r="B141" s="7" t="s">
        <v>5</v>
      </c>
      <c r="C141" s="24" t="s">
        <v>192</v>
      </c>
      <c r="D141" s="4">
        <f t="shared" ref="D141:P141" si="166">+D142+D143</f>
        <v>9300</v>
      </c>
      <c r="E141" s="4">
        <f t="shared" si="166"/>
        <v>9300</v>
      </c>
      <c r="F141" s="4">
        <f t="shared" si="166"/>
        <v>9300</v>
      </c>
      <c r="G141" s="4">
        <f t="shared" si="166"/>
        <v>9300</v>
      </c>
      <c r="H141" s="4">
        <f>+H142+H143</f>
        <v>34100</v>
      </c>
      <c r="I141" s="4">
        <f t="shared" si="166"/>
        <v>980.1099999999999</v>
      </c>
      <c r="J141" s="4">
        <f t="shared" si="166"/>
        <v>1458.79</v>
      </c>
      <c r="K141" s="4">
        <f t="shared" si="166"/>
        <v>2342.3000000000002</v>
      </c>
      <c r="L141" s="4">
        <f t="shared" si="166"/>
        <v>4781.2</v>
      </c>
      <c r="M141" s="4">
        <f t="shared" si="166"/>
        <v>149.87</v>
      </c>
      <c r="N141" s="4">
        <f t="shared" si="166"/>
        <v>3940.25</v>
      </c>
      <c r="O141" s="4">
        <f t="shared" si="166"/>
        <v>2051.1</v>
      </c>
      <c r="P141" s="4">
        <f t="shared" si="166"/>
        <v>6141.22</v>
      </c>
      <c r="Q141" s="4">
        <f t="shared" si="100"/>
        <v>10922.42</v>
      </c>
      <c r="R141" s="4">
        <f t="shared" ref="R141:T141" si="167">+R142+R143</f>
        <v>3249.77</v>
      </c>
      <c r="S141" s="4">
        <f t="shared" si="167"/>
        <v>4444.79</v>
      </c>
      <c r="T141" s="4">
        <f t="shared" si="167"/>
        <v>4121.42</v>
      </c>
      <c r="U141" s="4">
        <f t="shared" si="94"/>
        <v>11815.98</v>
      </c>
      <c r="V141" s="4">
        <f t="shared" si="95"/>
        <v>22738.400000000001</v>
      </c>
      <c r="W141" s="4">
        <f t="shared" ref="W141:Y141" si="168">+W142+W143</f>
        <v>7195.1</v>
      </c>
      <c r="X141" s="67">
        <f t="shared" si="168"/>
        <v>2086.87</v>
      </c>
      <c r="Y141" s="4">
        <f t="shared" si="168"/>
        <v>2623.14</v>
      </c>
      <c r="Z141" s="4">
        <f t="shared" si="96"/>
        <v>34643.51</v>
      </c>
      <c r="AA141" s="5">
        <f t="shared" si="97"/>
        <v>66.681524926686222</v>
      </c>
      <c r="AB141" s="4">
        <f t="shared" si="164"/>
        <v>543.51000000000204</v>
      </c>
      <c r="AC141" s="4">
        <f t="shared" si="165"/>
        <v>101.59387096774195</v>
      </c>
    </row>
    <row r="142" spans="1:29" s="16" customFormat="1" ht="66" x14ac:dyDescent="0.25">
      <c r="A142" s="19" t="s">
        <v>193</v>
      </c>
      <c r="B142" s="7" t="s">
        <v>194</v>
      </c>
      <c r="C142" s="24" t="s">
        <v>195</v>
      </c>
      <c r="D142" s="4">
        <v>5000</v>
      </c>
      <c r="E142" s="4">
        <v>5000</v>
      </c>
      <c r="F142" s="4">
        <v>5000</v>
      </c>
      <c r="G142" s="4">
        <v>5000</v>
      </c>
      <c r="H142" s="4">
        <v>25000</v>
      </c>
      <c r="I142" s="4">
        <v>450.59</v>
      </c>
      <c r="J142" s="4">
        <v>1458.79</v>
      </c>
      <c r="K142" s="4">
        <v>1840.43</v>
      </c>
      <c r="L142" s="4">
        <f>I142+J142+K142</f>
        <v>3749.81</v>
      </c>
      <c r="M142" s="4">
        <v>147.99</v>
      </c>
      <c r="N142" s="4">
        <v>1438.37</v>
      </c>
      <c r="O142" s="4">
        <v>1038.03</v>
      </c>
      <c r="P142" s="4">
        <f>M142+N142+O142</f>
        <v>2624.39</v>
      </c>
      <c r="Q142" s="4">
        <f t="shared" si="100"/>
        <v>6374.2</v>
      </c>
      <c r="R142" s="4">
        <v>1744.18</v>
      </c>
      <c r="S142" s="4">
        <v>4414.66</v>
      </c>
      <c r="T142" s="4">
        <v>2609.1799999999998</v>
      </c>
      <c r="U142" s="4">
        <f t="shared" si="94"/>
        <v>8768.02</v>
      </c>
      <c r="V142" s="4">
        <f t="shared" si="95"/>
        <v>15142.220000000001</v>
      </c>
      <c r="W142" s="4">
        <v>5693.22</v>
      </c>
      <c r="X142" s="67">
        <v>2084.9899999999998</v>
      </c>
      <c r="Y142" s="4">
        <v>2444.44</v>
      </c>
      <c r="Z142" s="4">
        <f t="shared" si="96"/>
        <v>25364.87</v>
      </c>
      <c r="AA142" s="5">
        <f t="shared" si="97"/>
        <v>60.56888</v>
      </c>
      <c r="AB142" s="4">
        <f t="shared" si="164"/>
        <v>364.86999999999898</v>
      </c>
      <c r="AC142" s="4">
        <f t="shared" si="165"/>
        <v>101.45948</v>
      </c>
    </row>
    <row r="143" spans="1:29" s="16" customFormat="1" ht="66" x14ac:dyDescent="0.25">
      <c r="A143" s="19" t="s">
        <v>193</v>
      </c>
      <c r="B143" s="7" t="s">
        <v>196</v>
      </c>
      <c r="C143" s="24" t="s">
        <v>195</v>
      </c>
      <c r="D143" s="4">
        <v>4300</v>
      </c>
      <c r="E143" s="4">
        <v>4300</v>
      </c>
      <c r="F143" s="4">
        <v>4300</v>
      </c>
      <c r="G143" s="4">
        <v>4300</v>
      </c>
      <c r="H143" s="4">
        <v>9100</v>
      </c>
      <c r="I143" s="4">
        <f>30.1+499.42</f>
        <v>529.52</v>
      </c>
      <c r="J143" s="4">
        <f>0</f>
        <v>0</v>
      </c>
      <c r="K143" s="4">
        <v>501.87</v>
      </c>
      <c r="L143" s="4">
        <f>I143+J143+K143</f>
        <v>1031.3899999999999</v>
      </c>
      <c r="M143" s="4">
        <f>1.88</f>
        <v>1.88</v>
      </c>
      <c r="N143" s="4">
        <f>2500+1.88</f>
        <v>2501.88</v>
      </c>
      <c r="O143" s="4">
        <v>1013.07</v>
      </c>
      <c r="P143" s="4">
        <f>M143+N143+O143</f>
        <v>3516.8300000000004</v>
      </c>
      <c r="Q143" s="4">
        <f t="shared" si="100"/>
        <v>4548.22</v>
      </c>
      <c r="R143" s="4">
        <v>1505.59</v>
      </c>
      <c r="S143" s="4">
        <v>30.13</v>
      </c>
      <c r="T143" s="4">
        <v>1512.24</v>
      </c>
      <c r="U143" s="4">
        <f t="shared" si="94"/>
        <v>3047.96</v>
      </c>
      <c r="V143" s="4">
        <f t="shared" si="95"/>
        <v>7596.18</v>
      </c>
      <c r="W143" s="4">
        <v>1501.88</v>
      </c>
      <c r="X143" s="67">
        <v>1.88</v>
      </c>
      <c r="Y143" s="4">
        <v>178.7</v>
      </c>
      <c r="Z143" s="4">
        <f t="shared" si="96"/>
        <v>9278.6400000000012</v>
      </c>
      <c r="AA143" s="5">
        <f t="shared" si="97"/>
        <v>83.474505494505507</v>
      </c>
      <c r="AB143" s="4">
        <f t="shared" si="164"/>
        <v>178.64000000000124</v>
      </c>
      <c r="AC143" s="4">
        <f t="shared" si="165"/>
        <v>101.96307692307694</v>
      </c>
    </row>
    <row r="144" spans="1:29" s="16" customFormat="1" ht="66" x14ac:dyDescent="0.25">
      <c r="A144" s="19" t="s">
        <v>197</v>
      </c>
      <c r="B144" s="7" t="s">
        <v>5</v>
      </c>
      <c r="C144" s="24" t="s">
        <v>198</v>
      </c>
      <c r="D144" s="4">
        <f t="shared" ref="D144:P144" si="169">+D145+D146</f>
        <v>153600</v>
      </c>
      <c r="E144" s="4">
        <f t="shared" si="169"/>
        <v>225000</v>
      </c>
      <c r="F144" s="4">
        <f t="shared" si="169"/>
        <v>225000</v>
      </c>
      <c r="G144" s="4">
        <f t="shared" si="169"/>
        <v>225000</v>
      </c>
      <c r="H144" s="4">
        <f t="shared" si="169"/>
        <v>339800</v>
      </c>
      <c r="I144" s="4">
        <f t="shared" si="169"/>
        <v>20898.169999999998</v>
      </c>
      <c r="J144" s="4">
        <f t="shared" si="169"/>
        <v>35301.83</v>
      </c>
      <c r="K144" s="4">
        <f t="shared" si="169"/>
        <v>39409.25</v>
      </c>
      <c r="L144" s="4">
        <f t="shared" si="169"/>
        <v>95609.25</v>
      </c>
      <c r="M144" s="4">
        <f t="shared" si="169"/>
        <v>25455.879999999997</v>
      </c>
      <c r="N144" s="4">
        <f t="shared" si="169"/>
        <v>14802.79</v>
      </c>
      <c r="O144" s="4">
        <f t="shared" si="169"/>
        <v>19455.760000000002</v>
      </c>
      <c r="P144" s="4">
        <f t="shared" si="169"/>
        <v>59714.43</v>
      </c>
      <c r="Q144" s="4">
        <f t="shared" si="100"/>
        <v>155323.68</v>
      </c>
      <c r="R144" s="4">
        <f t="shared" ref="R144:T144" si="170">+R145+R146</f>
        <v>24583.11</v>
      </c>
      <c r="S144" s="4">
        <f t="shared" si="170"/>
        <v>40813.700000000004</v>
      </c>
      <c r="T144" s="4">
        <f t="shared" si="170"/>
        <v>33768.82</v>
      </c>
      <c r="U144" s="4">
        <f t="shared" si="94"/>
        <v>99165.63</v>
      </c>
      <c r="V144" s="4">
        <f t="shared" si="95"/>
        <v>254489.31</v>
      </c>
      <c r="W144" s="4">
        <f t="shared" ref="W144:Y144" si="171">+W145+W146</f>
        <v>36577.79</v>
      </c>
      <c r="X144" s="67">
        <f t="shared" si="171"/>
        <v>28705.39</v>
      </c>
      <c r="Y144" s="4">
        <f t="shared" si="171"/>
        <v>26841.870000000003</v>
      </c>
      <c r="Z144" s="4">
        <f t="shared" si="96"/>
        <v>346614.36</v>
      </c>
      <c r="AA144" s="5">
        <f t="shared" si="97"/>
        <v>74.893852266038834</v>
      </c>
      <c r="AB144" s="4">
        <f t="shared" si="164"/>
        <v>6814.359999999986</v>
      </c>
      <c r="AC144" s="4">
        <f t="shared" si="165"/>
        <v>102.00540317834019</v>
      </c>
    </row>
    <row r="145" spans="1:29" s="16" customFormat="1" ht="79.2" x14ac:dyDescent="0.25">
      <c r="A145" s="19" t="s">
        <v>199</v>
      </c>
      <c r="B145" s="7" t="s">
        <v>194</v>
      </c>
      <c r="C145" s="24" t="s">
        <v>200</v>
      </c>
      <c r="D145" s="4">
        <v>25000</v>
      </c>
      <c r="E145" s="4">
        <v>25000</v>
      </c>
      <c r="F145" s="4">
        <v>25000</v>
      </c>
      <c r="G145" s="4">
        <v>25000</v>
      </c>
      <c r="H145" s="4">
        <v>15800</v>
      </c>
      <c r="I145" s="4">
        <v>0</v>
      </c>
      <c r="J145" s="4">
        <v>0</v>
      </c>
      <c r="K145" s="4">
        <v>2500</v>
      </c>
      <c r="L145" s="4">
        <f>I145+J145+K145</f>
        <v>2500</v>
      </c>
      <c r="M145" s="4">
        <v>0</v>
      </c>
      <c r="N145" s="4">
        <v>0</v>
      </c>
      <c r="O145" s="4">
        <v>4.5199999999999996</v>
      </c>
      <c r="P145" s="4">
        <f>M145+N145+O145</f>
        <v>4.5199999999999996</v>
      </c>
      <c r="Q145" s="4">
        <f t="shared" si="100"/>
        <v>2504.52</v>
      </c>
      <c r="R145" s="4">
        <v>253</v>
      </c>
      <c r="S145" s="4">
        <v>2500.0100000000002</v>
      </c>
      <c r="T145" s="4">
        <f>-0.01+6128.66</f>
        <v>6128.65</v>
      </c>
      <c r="U145" s="4">
        <f t="shared" si="94"/>
        <v>8881.66</v>
      </c>
      <c r="V145" s="4">
        <f t="shared" si="95"/>
        <v>11386.18</v>
      </c>
      <c r="W145" s="4">
        <v>1376.35</v>
      </c>
      <c r="X145" s="67">
        <v>43.5</v>
      </c>
      <c r="Y145" s="4">
        <v>2798.92</v>
      </c>
      <c r="Z145" s="4">
        <f t="shared" si="96"/>
        <v>15604.95</v>
      </c>
      <c r="AA145" s="5">
        <f t="shared" si="97"/>
        <v>72.064430379746838</v>
      </c>
      <c r="AB145" s="4">
        <f t="shared" si="164"/>
        <v>-195.04999999999927</v>
      </c>
      <c r="AC145" s="4">
        <f t="shared" si="165"/>
        <v>98.765506329113933</v>
      </c>
    </row>
    <row r="146" spans="1:29" s="16" customFormat="1" ht="79.2" x14ac:dyDescent="0.25">
      <c r="A146" s="19" t="s">
        <v>199</v>
      </c>
      <c r="B146" s="7" t="s">
        <v>196</v>
      </c>
      <c r="C146" s="24" t="s">
        <v>200</v>
      </c>
      <c r="D146" s="4">
        <v>128600</v>
      </c>
      <c r="E146" s="4">
        <v>200000</v>
      </c>
      <c r="F146" s="4">
        <v>200000</v>
      </c>
      <c r="G146" s="4">
        <v>200000</v>
      </c>
      <c r="H146" s="4">
        <v>324000</v>
      </c>
      <c r="I146" s="4">
        <v>20898.169999999998</v>
      </c>
      <c r="J146" s="4">
        <v>35301.83</v>
      </c>
      <c r="K146" s="4">
        <f>17182.63+2000+17726.62</f>
        <v>36909.25</v>
      </c>
      <c r="L146" s="4">
        <f>I146+J146+K146</f>
        <v>93109.25</v>
      </c>
      <c r="M146" s="4">
        <f>46+4772.87+8000+12637.01</f>
        <v>25455.879999999997</v>
      </c>
      <c r="N146" s="4">
        <f>2524+3422.14+0.21+8856.44</f>
        <v>14802.79</v>
      </c>
      <c r="O146" s="4">
        <v>19451.240000000002</v>
      </c>
      <c r="P146" s="4">
        <f>M146+N146+O146</f>
        <v>59709.91</v>
      </c>
      <c r="Q146" s="4">
        <f t="shared" si="100"/>
        <v>152819.16</v>
      </c>
      <c r="R146" s="4">
        <v>24330.11</v>
      </c>
      <c r="S146" s="4">
        <v>38313.69</v>
      </c>
      <c r="T146" s="4">
        <v>27640.17</v>
      </c>
      <c r="U146" s="4">
        <f t="shared" ref="U146:U212" si="172">R146+S146+T146</f>
        <v>90283.97</v>
      </c>
      <c r="V146" s="4">
        <f t="shared" ref="V146:V212" si="173">L146+P146+U146</f>
        <v>243103.13</v>
      </c>
      <c r="W146" s="4">
        <v>35201.440000000002</v>
      </c>
      <c r="X146" s="67">
        <v>28661.89</v>
      </c>
      <c r="Y146" s="4">
        <v>24042.95</v>
      </c>
      <c r="Z146" s="4">
        <f t="shared" ref="Z146:Z212" si="174">L146+P146+U146+W146+X146+Y146</f>
        <v>331009.41000000003</v>
      </c>
      <c r="AA146" s="5">
        <f t="shared" ref="AA146:AA212" si="175">V146/H146*100</f>
        <v>75.031830246913572</v>
      </c>
      <c r="AB146" s="4">
        <f t="shared" si="164"/>
        <v>7009.4100000000326</v>
      </c>
      <c r="AC146" s="4">
        <f t="shared" si="165"/>
        <v>102.16339814814816</v>
      </c>
    </row>
    <row r="147" spans="1:29" s="16" customFormat="1" ht="45.6" customHeight="1" x14ac:dyDescent="0.25">
      <c r="A147" s="19" t="s">
        <v>201</v>
      </c>
      <c r="B147" s="7" t="s">
        <v>5</v>
      </c>
      <c r="C147" s="24" t="s">
        <v>202</v>
      </c>
      <c r="D147" s="4">
        <f t="shared" ref="D147:I147" si="176">+D149+D148</f>
        <v>900</v>
      </c>
      <c r="E147" s="4">
        <f t="shared" si="176"/>
        <v>5004.5</v>
      </c>
      <c r="F147" s="4">
        <f t="shared" si="176"/>
        <v>5004.5</v>
      </c>
      <c r="G147" s="4">
        <f t="shared" si="176"/>
        <v>5004.5</v>
      </c>
      <c r="H147" s="4">
        <f t="shared" si="176"/>
        <v>26000</v>
      </c>
      <c r="I147" s="4">
        <f t="shared" si="176"/>
        <v>0</v>
      </c>
      <c r="J147" s="4">
        <f>+J149+J148</f>
        <v>2000.49</v>
      </c>
      <c r="K147" s="4">
        <f t="shared" ref="K147:M147" si="177">+K149+K148</f>
        <v>2310.5100000000002</v>
      </c>
      <c r="L147" s="4">
        <f t="shared" si="177"/>
        <v>4311</v>
      </c>
      <c r="M147" s="4">
        <f t="shared" si="177"/>
        <v>2831.08</v>
      </c>
      <c r="N147" s="4">
        <f>+N149+N148</f>
        <v>1672.5</v>
      </c>
      <c r="O147" s="4">
        <f t="shared" ref="O147:P147" si="178">+O149+O148</f>
        <v>709.14</v>
      </c>
      <c r="P147" s="4">
        <f t="shared" si="178"/>
        <v>5212.72</v>
      </c>
      <c r="Q147" s="4">
        <f t="shared" si="100"/>
        <v>9523.7200000000012</v>
      </c>
      <c r="R147" s="4">
        <f t="shared" ref="R147:T147" si="179">+R149+R148</f>
        <v>645.98</v>
      </c>
      <c r="S147" s="4">
        <f t="shared" si="179"/>
        <v>2144.96</v>
      </c>
      <c r="T147" s="4">
        <f t="shared" si="179"/>
        <v>1135.4100000000001</v>
      </c>
      <c r="U147" s="4">
        <f t="shared" si="172"/>
        <v>3926.3500000000004</v>
      </c>
      <c r="V147" s="4">
        <f t="shared" si="173"/>
        <v>13450.070000000002</v>
      </c>
      <c r="W147" s="4">
        <f t="shared" ref="W147:Y147" si="180">+W149+W148</f>
        <v>10465.040000000001</v>
      </c>
      <c r="X147" s="67">
        <f t="shared" si="180"/>
        <v>-6021.98</v>
      </c>
      <c r="Y147" s="4">
        <f t="shared" si="180"/>
        <v>255.53</v>
      </c>
      <c r="Z147" s="4">
        <f t="shared" si="174"/>
        <v>18148.66</v>
      </c>
      <c r="AA147" s="5">
        <f t="shared" si="175"/>
        <v>51.731038461538468</v>
      </c>
      <c r="AB147" s="4">
        <f t="shared" si="164"/>
        <v>-7851.34</v>
      </c>
      <c r="AC147" s="4">
        <f t="shared" si="165"/>
        <v>69.802538461538461</v>
      </c>
    </row>
    <row r="148" spans="1:29" s="16" customFormat="1" ht="66" x14ac:dyDescent="0.25">
      <c r="A148" s="19" t="s">
        <v>203</v>
      </c>
      <c r="B148" s="7" t="s">
        <v>194</v>
      </c>
      <c r="C148" s="24" t="s">
        <v>204</v>
      </c>
      <c r="D148" s="4">
        <v>0</v>
      </c>
      <c r="E148" s="4">
        <v>1000</v>
      </c>
      <c r="F148" s="4">
        <v>1000</v>
      </c>
      <c r="G148" s="4">
        <v>1000</v>
      </c>
      <c r="H148" s="4">
        <v>6000</v>
      </c>
      <c r="I148" s="4">
        <v>0</v>
      </c>
      <c r="J148" s="4">
        <v>500</v>
      </c>
      <c r="K148" s="4">
        <v>500</v>
      </c>
      <c r="L148" s="4">
        <f>I148+J148+K148</f>
        <v>1000</v>
      </c>
      <c r="M148" s="4">
        <v>0</v>
      </c>
      <c r="N148" s="4">
        <v>0</v>
      </c>
      <c r="O148" s="4">
        <v>159.91999999999999</v>
      </c>
      <c r="P148" s="4">
        <f>M148+N148+O148</f>
        <v>159.91999999999999</v>
      </c>
      <c r="Q148" s="4">
        <f t="shared" si="100"/>
        <v>1159.92</v>
      </c>
      <c r="R148" s="4">
        <v>99.52</v>
      </c>
      <c r="S148" s="4">
        <v>1890.58</v>
      </c>
      <c r="T148" s="4">
        <v>999.98</v>
      </c>
      <c r="U148" s="4">
        <f t="shared" si="172"/>
        <v>2990.08</v>
      </c>
      <c r="V148" s="4">
        <f t="shared" si="173"/>
        <v>4150</v>
      </c>
      <c r="W148" s="4">
        <v>0</v>
      </c>
      <c r="X148" s="67">
        <v>1500</v>
      </c>
      <c r="Y148" s="4">
        <v>0</v>
      </c>
      <c r="Z148" s="4">
        <f t="shared" si="174"/>
        <v>5650</v>
      </c>
      <c r="AA148" s="5">
        <f t="shared" si="175"/>
        <v>69.166666666666671</v>
      </c>
      <c r="AB148" s="4">
        <f t="shared" si="164"/>
        <v>-350</v>
      </c>
      <c r="AC148" s="4">
        <f t="shared" si="165"/>
        <v>94.166666666666671</v>
      </c>
    </row>
    <row r="149" spans="1:29" s="16" customFormat="1" ht="66" x14ac:dyDescent="0.25">
      <c r="A149" s="19" t="s">
        <v>203</v>
      </c>
      <c r="B149" s="7" t="s">
        <v>196</v>
      </c>
      <c r="C149" s="24" t="s">
        <v>204</v>
      </c>
      <c r="D149" s="4">
        <v>900</v>
      </c>
      <c r="E149" s="4">
        <v>4004.5</v>
      </c>
      <c r="F149" s="4">
        <v>4004.5</v>
      </c>
      <c r="G149" s="4">
        <v>4004.5</v>
      </c>
      <c r="H149" s="4">
        <v>20000</v>
      </c>
      <c r="I149" s="4">
        <v>0</v>
      </c>
      <c r="J149" s="4">
        <f>0.49+1500</f>
        <v>1500.49</v>
      </c>
      <c r="K149" s="4">
        <f>299.51+1511</f>
        <v>1810.51</v>
      </c>
      <c r="L149" s="4">
        <f>I149+J149+K149</f>
        <v>3311</v>
      </c>
      <c r="M149" s="4">
        <f>299.51+2531.57</f>
        <v>2831.08</v>
      </c>
      <c r="N149" s="4">
        <f>150+1522.5</f>
        <v>1672.5</v>
      </c>
      <c r="O149" s="4">
        <v>549.22</v>
      </c>
      <c r="P149" s="4">
        <f>M149+N149+O149</f>
        <v>5052.8</v>
      </c>
      <c r="Q149" s="4">
        <f t="shared" si="100"/>
        <v>8363.7999999999993</v>
      </c>
      <c r="R149" s="4">
        <v>546.46</v>
      </c>
      <c r="S149" s="4">
        <f>189.97+64.41</f>
        <v>254.38</v>
      </c>
      <c r="T149" s="4">
        <v>135.43</v>
      </c>
      <c r="U149" s="4">
        <f t="shared" si="172"/>
        <v>936.27</v>
      </c>
      <c r="V149" s="4">
        <f t="shared" si="173"/>
        <v>9300.07</v>
      </c>
      <c r="W149" s="4">
        <v>10465.040000000001</v>
      </c>
      <c r="X149" s="67">
        <v>-7521.98</v>
      </c>
      <c r="Y149" s="4">
        <v>255.53</v>
      </c>
      <c r="Z149" s="4">
        <f t="shared" si="174"/>
        <v>12498.660000000002</v>
      </c>
      <c r="AA149" s="5">
        <f t="shared" si="175"/>
        <v>46.500349999999997</v>
      </c>
      <c r="AB149" s="4">
        <f t="shared" si="164"/>
        <v>-7501.3399999999983</v>
      </c>
      <c r="AC149" s="4">
        <f t="shared" si="165"/>
        <v>62.493300000000005</v>
      </c>
    </row>
    <row r="150" spans="1:29" s="16" customFormat="1" ht="52.8" x14ac:dyDescent="0.25">
      <c r="A150" s="19" t="s">
        <v>205</v>
      </c>
      <c r="B150" s="7" t="s">
        <v>5</v>
      </c>
      <c r="C150" s="24" t="s">
        <v>206</v>
      </c>
      <c r="D150" s="4">
        <f t="shared" ref="D150:T150" si="181">+D151</f>
        <v>147400</v>
      </c>
      <c r="E150" s="4">
        <f t="shared" si="181"/>
        <v>700000</v>
      </c>
      <c r="F150" s="4">
        <f t="shared" si="181"/>
        <v>700000</v>
      </c>
      <c r="G150" s="4">
        <f t="shared" si="181"/>
        <v>700000</v>
      </c>
      <c r="H150" s="4">
        <f t="shared" si="181"/>
        <v>1617000.89</v>
      </c>
      <c r="I150" s="4">
        <f t="shared" si="181"/>
        <v>26010.82</v>
      </c>
      <c r="J150" s="4">
        <f t="shared" si="181"/>
        <v>55000.87</v>
      </c>
      <c r="K150" s="4">
        <f t="shared" si="181"/>
        <v>603056.18999999994</v>
      </c>
      <c r="L150" s="4">
        <f t="shared" si="181"/>
        <v>684067.87999999989</v>
      </c>
      <c r="M150" s="4">
        <f t="shared" si="181"/>
        <v>158708.64000000001</v>
      </c>
      <c r="N150" s="4">
        <f t="shared" si="181"/>
        <v>255558.1</v>
      </c>
      <c r="O150" s="4">
        <f t="shared" si="181"/>
        <v>2144.1299999999997</v>
      </c>
      <c r="P150" s="4">
        <f t="shared" si="181"/>
        <v>416410.87</v>
      </c>
      <c r="Q150" s="4">
        <f t="shared" si="100"/>
        <v>1100478.75</v>
      </c>
      <c r="R150" s="4">
        <f t="shared" si="181"/>
        <v>3991.02</v>
      </c>
      <c r="S150" s="4">
        <f t="shared" si="181"/>
        <v>54021.74</v>
      </c>
      <c r="T150" s="4">
        <f t="shared" si="181"/>
        <v>2978.26</v>
      </c>
      <c r="U150" s="4">
        <f t="shared" si="172"/>
        <v>60991.02</v>
      </c>
      <c r="V150" s="4">
        <f t="shared" si="173"/>
        <v>1161469.77</v>
      </c>
      <c r="W150" s="4">
        <f t="shared" ref="W150:Y150" si="182">+W151</f>
        <v>116534.49</v>
      </c>
      <c r="X150" s="67">
        <f t="shared" si="182"/>
        <v>1000</v>
      </c>
      <c r="Y150" s="4">
        <f t="shared" si="182"/>
        <v>51999.99</v>
      </c>
      <c r="Z150" s="4">
        <f t="shared" si="174"/>
        <v>1331004.25</v>
      </c>
      <c r="AA150" s="5">
        <f t="shared" si="175"/>
        <v>71.828641355911699</v>
      </c>
      <c r="AB150" s="4">
        <f t="shared" si="164"/>
        <v>-285996.6399999999</v>
      </c>
      <c r="AC150" s="4">
        <f t="shared" si="165"/>
        <v>82.313142697157076</v>
      </c>
    </row>
    <row r="151" spans="1:29" s="16" customFormat="1" ht="66" x14ac:dyDescent="0.25">
      <c r="A151" s="19" t="s">
        <v>207</v>
      </c>
      <c r="B151" s="7" t="s">
        <v>196</v>
      </c>
      <c r="C151" s="24" t="s">
        <v>208</v>
      </c>
      <c r="D151" s="4">
        <v>147400</v>
      </c>
      <c r="E151" s="4">
        <v>700000</v>
      </c>
      <c r="F151" s="4">
        <v>700000</v>
      </c>
      <c r="G151" s="4">
        <v>700000</v>
      </c>
      <c r="H151" s="4">
        <v>1617000.89</v>
      </c>
      <c r="I151" s="4">
        <f>1000.01+25010.81</f>
        <v>26010.82</v>
      </c>
      <c r="J151" s="4">
        <f>5000.87+50000</f>
        <v>55000.87</v>
      </c>
      <c r="K151" s="4">
        <v>603056.18999999994</v>
      </c>
      <c r="L151" s="4">
        <f>I151+J151+K151</f>
        <v>684067.87999999989</v>
      </c>
      <c r="M151" s="4">
        <v>158708.64000000001</v>
      </c>
      <c r="N151" s="4">
        <v>255558.1</v>
      </c>
      <c r="O151" s="4">
        <f>2144.14-0.01</f>
        <v>2144.1299999999997</v>
      </c>
      <c r="P151" s="4">
        <f>M151+N151+O151</f>
        <v>416410.87</v>
      </c>
      <c r="Q151" s="4">
        <f t="shared" ref="Q151:Q236" si="183">L151+P151</f>
        <v>1100478.75</v>
      </c>
      <c r="R151" s="4">
        <f>3991.02</f>
        <v>3991.02</v>
      </c>
      <c r="S151" s="4">
        <v>54021.74</v>
      </c>
      <c r="T151" s="4">
        <v>2978.26</v>
      </c>
      <c r="U151" s="4">
        <f t="shared" si="172"/>
        <v>60991.02</v>
      </c>
      <c r="V151" s="4">
        <f t="shared" si="173"/>
        <v>1161469.77</v>
      </c>
      <c r="W151" s="4">
        <v>116534.49</v>
      </c>
      <c r="X151" s="67">
        <v>1000</v>
      </c>
      <c r="Y151" s="4">
        <v>51999.99</v>
      </c>
      <c r="Z151" s="4">
        <f t="shared" si="174"/>
        <v>1331004.25</v>
      </c>
      <c r="AA151" s="5">
        <f t="shared" si="175"/>
        <v>71.828641355911699</v>
      </c>
      <c r="AB151" s="4">
        <f t="shared" si="164"/>
        <v>-285996.6399999999</v>
      </c>
      <c r="AC151" s="4">
        <f t="shared" si="165"/>
        <v>82.313142697157076</v>
      </c>
    </row>
    <row r="152" spans="1:29" s="16" customFormat="1" ht="52.8" x14ac:dyDescent="0.25">
      <c r="A152" s="8" t="s">
        <v>528</v>
      </c>
      <c r="B152" s="7" t="s">
        <v>5</v>
      </c>
      <c r="C152" s="24" t="s">
        <v>529</v>
      </c>
      <c r="D152" s="4"/>
      <c r="E152" s="4"/>
      <c r="F152" s="4"/>
      <c r="G152" s="4"/>
      <c r="H152" s="4">
        <f>H153</f>
        <v>5000</v>
      </c>
      <c r="I152" s="4">
        <f t="shared" ref="I152:Y154" si="184">I153</f>
        <v>0</v>
      </c>
      <c r="J152" s="4">
        <f t="shared" si="184"/>
        <v>0</v>
      </c>
      <c r="K152" s="4">
        <f t="shared" si="184"/>
        <v>0</v>
      </c>
      <c r="L152" s="4">
        <f t="shared" si="184"/>
        <v>0</v>
      </c>
      <c r="M152" s="4">
        <f t="shared" si="184"/>
        <v>0</v>
      </c>
      <c r="N152" s="4">
        <f t="shared" si="184"/>
        <v>0</v>
      </c>
      <c r="O152" s="4">
        <f t="shared" si="184"/>
        <v>0</v>
      </c>
      <c r="P152" s="4">
        <f t="shared" si="184"/>
        <v>0</v>
      </c>
      <c r="Q152" s="4">
        <f t="shared" si="184"/>
        <v>0</v>
      </c>
      <c r="R152" s="4">
        <f t="shared" si="184"/>
        <v>5000</v>
      </c>
      <c r="S152" s="4">
        <f t="shared" si="184"/>
        <v>0</v>
      </c>
      <c r="T152" s="4">
        <f t="shared" si="184"/>
        <v>0</v>
      </c>
      <c r="U152" s="4">
        <f t="shared" si="172"/>
        <v>5000</v>
      </c>
      <c r="V152" s="4">
        <f t="shared" si="173"/>
        <v>5000</v>
      </c>
      <c r="W152" s="4">
        <f t="shared" si="184"/>
        <v>0</v>
      </c>
      <c r="X152" s="67">
        <f t="shared" si="184"/>
        <v>0</v>
      </c>
      <c r="Y152" s="4">
        <f t="shared" si="184"/>
        <v>0</v>
      </c>
      <c r="Z152" s="4">
        <f t="shared" si="174"/>
        <v>5000</v>
      </c>
      <c r="AA152" s="5"/>
      <c r="AB152" s="4">
        <f t="shared" si="164"/>
        <v>0</v>
      </c>
      <c r="AC152" s="4">
        <f t="shared" si="165"/>
        <v>100</v>
      </c>
    </row>
    <row r="153" spans="1:29" s="16" customFormat="1" ht="66" x14ac:dyDescent="0.25">
      <c r="A153" s="8" t="s">
        <v>527</v>
      </c>
      <c r="B153" s="7" t="s">
        <v>196</v>
      </c>
      <c r="C153" s="24" t="s">
        <v>520</v>
      </c>
      <c r="D153" s="4"/>
      <c r="E153" s="4"/>
      <c r="F153" s="4"/>
      <c r="G153" s="4"/>
      <c r="H153" s="4">
        <v>5000</v>
      </c>
      <c r="I153" s="4"/>
      <c r="J153" s="4"/>
      <c r="K153" s="4"/>
      <c r="L153" s="4"/>
      <c r="M153" s="4"/>
      <c r="N153" s="4"/>
      <c r="O153" s="4"/>
      <c r="P153" s="4"/>
      <c r="Q153" s="4"/>
      <c r="R153" s="4">
        <v>5000</v>
      </c>
      <c r="S153" s="4"/>
      <c r="T153" s="4">
        <v>0</v>
      </c>
      <c r="U153" s="4">
        <f t="shared" si="172"/>
        <v>5000</v>
      </c>
      <c r="V153" s="4">
        <f t="shared" si="173"/>
        <v>5000</v>
      </c>
      <c r="W153" s="4">
        <v>0</v>
      </c>
      <c r="X153" s="67">
        <v>0</v>
      </c>
      <c r="Y153" s="4">
        <v>0</v>
      </c>
      <c r="Z153" s="4">
        <f t="shared" si="174"/>
        <v>5000</v>
      </c>
      <c r="AA153" s="5"/>
      <c r="AB153" s="4">
        <f t="shared" si="164"/>
        <v>0</v>
      </c>
      <c r="AC153" s="4">
        <f t="shared" si="165"/>
        <v>100</v>
      </c>
    </row>
    <row r="154" spans="1:29" s="89" customFormat="1" ht="52.8" x14ac:dyDescent="0.25">
      <c r="A154" s="99" t="s">
        <v>593</v>
      </c>
      <c r="B154" s="7" t="s">
        <v>5</v>
      </c>
      <c r="C154" s="90" t="s">
        <v>595</v>
      </c>
      <c r="D154" s="4"/>
      <c r="E154" s="4"/>
      <c r="F154" s="4"/>
      <c r="G154" s="4"/>
      <c r="H154" s="4">
        <f>H155</f>
        <v>0</v>
      </c>
      <c r="I154" s="4">
        <f t="shared" si="184"/>
        <v>0</v>
      </c>
      <c r="J154" s="4">
        <f t="shared" si="184"/>
        <v>0</v>
      </c>
      <c r="K154" s="4">
        <f t="shared" si="184"/>
        <v>0</v>
      </c>
      <c r="L154" s="4">
        <f t="shared" si="184"/>
        <v>0</v>
      </c>
      <c r="M154" s="4">
        <f t="shared" si="184"/>
        <v>0</v>
      </c>
      <c r="N154" s="4">
        <f t="shared" si="184"/>
        <v>0</v>
      </c>
      <c r="O154" s="4">
        <f t="shared" si="184"/>
        <v>0</v>
      </c>
      <c r="P154" s="4">
        <f t="shared" si="184"/>
        <v>0</v>
      </c>
      <c r="Q154" s="4">
        <f t="shared" si="184"/>
        <v>0</v>
      </c>
      <c r="R154" s="4">
        <f t="shared" si="184"/>
        <v>0</v>
      </c>
      <c r="S154" s="4">
        <f t="shared" si="184"/>
        <v>0</v>
      </c>
      <c r="T154" s="4">
        <f t="shared" si="184"/>
        <v>0</v>
      </c>
      <c r="U154" s="4">
        <f t="shared" ref="U154:U155" si="185">R154+S154+T154</f>
        <v>0</v>
      </c>
      <c r="V154" s="4">
        <f t="shared" ref="V154:V155" si="186">L154+P154+U154</f>
        <v>0</v>
      </c>
      <c r="W154" s="4">
        <f t="shared" si="184"/>
        <v>0</v>
      </c>
      <c r="X154" s="67">
        <f t="shared" si="184"/>
        <v>750</v>
      </c>
      <c r="Y154" s="4">
        <f t="shared" si="184"/>
        <v>0</v>
      </c>
      <c r="Z154" s="4">
        <f t="shared" ref="Z154" si="187">L154+P154+U154+W154+X154+Y154</f>
        <v>750</v>
      </c>
      <c r="AA154" s="88"/>
      <c r="AB154" s="4">
        <f t="shared" si="164"/>
        <v>750</v>
      </c>
      <c r="AC154" s="4">
        <v>0</v>
      </c>
    </row>
    <row r="155" spans="1:29" s="89" customFormat="1" ht="63" customHeight="1" x14ac:dyDescent="0.25">
      <c r="A155" s="99" t="s">
        <v>594</v>
      </c>
      <c r="B155" s="7" t="s">
        <v>196</v>
      </c>
      <c r="C155" s="24" t="s">
        <v>592</v>
      </c>
      <c r="D155" s="4"/>
      <c r="E155" s="4"/>
      <c r="F155" s="4"/>
      <c r="G155" s="4"/>
      <c r="H155" s="4">
        <v>0</v>
      </c>
      <c r="I155" s="4"/>
      <c r="J155" s="4"/>
      <c r="K155" s="4"/>
      <c r="L155" s="4"/>
      <c r="M155" s="4"/>
      <c r="N155" s="4"/>
      <c r="O155" s="4"/>
      <c r="P155" s="4"/>
      <c r="Q155" s="4"/>
      <c r="R155" s="4">
        <v>0</v>
      </c>
      <c r="S155" s="4"/>
      <c r="T155" s="4">
        <v>0</v>
      </c>
      <c r="U155" s="4">
        <f t="shared" si="185"/>
        <v>0</v>
      </c>
      <c r="V155" s="4">
        <f t="shared" si="186"/>
        <v>0</v>
      </c>
      <c r="W155" s="4">
        <v>0</v>
      </c>
      <c r="X155" s="67">
        <v>750</v>
      </c>
      <c r="Y155" s="4">
        <v>0</v>
      </c>
      <c r="Z155" s="4">
        <f>L155+P155+U155+W155+X155+Y155</f>
        <v>750</v>
      </c>
      <c r="AA155" s="88"/>
      <c r="AB155" s="4">
        <f t="shared" si="164"/>
        <v>750</v>
      </c>
      <c r="AC155" s="4">
        <v>0</v>
      </c>
    </row>
    <row r="156" spans="1:29" s="16" customFormat="1" ht="39.6" x14ac:dyDescent="0.25">
      <c r="A156" s="19" t="s">
        <v>209</v>
      </c>
      <c r="B156" s="7" t="s">
        <v>5</v>
      </c>
      <c r="C156" s="24" t="s">
        <v>210</v>
      </c>
      <c r="D156" s="4">
        <f t="shared" ref="D156:T156" si="188">+D157</f>
        <v>400</v>
      </c>
      <c r="E156" s="4">
        <f t="shared" si="188"/>
        <v>400</v>
      </c>
      <c r="F156" s="4">
        <f t="shared" si="188"/>
        <v>400</v>
      </c>
      <c r="G156" s="4">
        <f t="shared" si="188"/>
        <v>400</v>
      </c>
      <c r="H156" s="4">
        <f t="shared" si="188"/>
        <v>15400</v>
      </c>
      <c r="I156" s="4">
        <f t="shared" si="188"/>
        <v>0</v>
      </c>
      <c r="J156" s="4">
        <f t="shared" si="188"/>
        <v>0</v>
      </c>
      <c r="K156" s="4">
        <f>+K157</f>
        <v>0</v>
      </c>
      <c r="L156" s="4">
        <f t="shared" si="188"/>
        <v>0</v>
      </c>
      <c r="M156" s="4">
        <f t="shared" si="188"/>
        <v>0</v>
      </c>
      <c r="N156" s="4">
        <f t="shared" si="188"/>
        <v>0</v>
      </c>
      <c r="O156" s="4">
        <f t="shared" si="188"/>
        <v>0</v>
      </c>
      <c r="P156" s="4">
        <f t="shared" si="188"/>
        <v>0</v>
      </c>
      <c r="Q156" s="4">
        <f t="shared" si="183"/>
        <v>0</v>
      </c>
      <c r="R156" s="4">
        <f t="shared" si="188"/>
        <v>0</v>
      </c>
      <c r="S156" s="4">
        <f t="shared" si="188"/>
        <v>15000</v>
      </c>
      <c r="T156" s="4">
        <f t="shared" si="188"/>
        <v>0</v>
      </c>
      <c r="U156" s="4">
        <f t="shared" si="172"/>
        <v>15000</v>
      </c>
      <c r="V156" s="4">
        <f t="shared" si="173"/>
        <v>15000</v>
      </c>
      <c r="W156" s="4">
        <f t="shared" ref="W156:Y156" si="189">+W157</f>
        <v>0</v>
      </c>
      <c r="X156" s="67">
        <f t="shared" si="189"/>
        <v>0</v>
      </c>
      <c r="Y156" s="4">
        <f t="shared" si="189"/>
        <v>0</v>
      </c>
      <c r="Z156" s="4">
        <f t="shared" si="174"/>
        <v>15000</v>
      </c>
      <c r="AA156" s="5">
        <f t="shared" si="175"/>
        <v>97.402597402597408</v>
      </c>
      <c r="AB156" s="4">
        <f t="shared" si="164"/>
        <v>-400</v>
      </c>
      <c r="AC156" s="4">
        <f t="shared" si="165"/>
        <v>97.402597402597408</v>
      </c>
    </row>
    <row r="157" spans="1:29" s="16" customFormat="1" ht="66" x14ac:dyDescent="0.25">
      <c r="A157" s="19" t="s">
        <v>211</v>
      </c>
      <c r="B157" s="7" t="s">
        <v>196</v>
      </c>
      <c r="C157" s="24" t="s">
        <v>212</v>
      </c>
      <c r="D157" s="4">
        <v>400</v>
      </c>
      <c r="E157" s="4">
        <v>400</v>
      </c>
      <c r="F157" s="4">
        <v>400</v>
      </c>
      <c r="G157" s="4">
        <v>400</v>
      </c>
      <c r="H157" s="4">
        <v>15400</v>
      </c>
      <c r="I157" s="4">
        <v>0</v>
      </c>
      <c r="J157" s="4">
        <v>0</v>
      </c>
      <c r="K157" s="4">
        <v>0</v>
      </c>
      <c r="L157" s="4">
        <f>I157+J157+K157</f>
        <v>0</v>
      </c>
      <c r="M157" s="4">
        <v>0</v>
      </c>
      <c r="N157" s="4">
        <v>0</v>
      </c>
      <c r="O157" s="4">
        <v>0</v>
      </c>
      <c r="P157" s="4">
        <f>M157+N157+O157</f>
        <v>0</v>
      </c>
      <c r="Q157" s="4">
        <f t="shared" si="183"/>
        <v>0</v>
      </c>
      <c r="R157" s="4">
        <v>0</v>
      </c>
      <c r="S157" s="4">
        <v>15000</v>
      </c>
      <c r="T157" s="4">
        <v>0</v>
      </c>
      <c r="U157" s="4">
        <f t="shared" si="172"/>
        <v>15000</v>
      </c>
      <c r="V157" s="4">
        <f t="shared" si="173"/>
        <v>15000</v>
      </c>
      <c r="W157" s="4">
        <v>0</v>
      </c>
      <c r="X157" s="67">
        <v>0</v>
      </c>
      <c r="Y157" s="4">
        <v>0</v>
      </c>
      <c r="Z157" s="4">
        <f t="shared" si="174"/>
        <v>15000</v>
      </c>
      <c r="AA157" s="5">
        <f t="shared" si="175"/>
        <v>97.402597402597408</v>
      </c>
      <c r="AB157" s="4">
        <f t="shared" si="164"/>
        <v>-400</v>
      </c>
      <c r="AC157" s="4">
        <f t="shared" si="165"/>
        <v>97.402597402597408</v>
      </c>
    </row>
    <row r="158" spans="1:29" s="16" customFormat="1" ht="49.8" customHeight="1" x14ac:dyDescent="0.25">
      <c r="A158" s="8" t="s">
        <v>606</v>
      </c>
      <c r="B158" s="7" t="s">
        <v>5</v>
      </c>
      <c r="C158" s="24" t="s">
        <v>400</v>
      </c>
      <c r="D158" s="4">
        <f t="shared" ref="D158:T158" si="190">+D159</f>
        <v>0</v>
      </c>
      <c r="E158" s="4">
        <f t="shared" si="190"/>
        <v>25000</v>
      </c>
      <c r="F158" s="4">
        <f t="shared" si="190"/>
        <v>25000</v>
      </c>
      <c r="G158" s="4">
        <f t="shared" si="190"/>
        <v>25000</v>
      </c>
      <c r="H158" s="4">
        <f t="shared" si="190"/>
        <v>25000</v>
      </c>
      <c r="I158" s="4">
        <f t="shared" si="190"/>
        <v>0</v>
      </c>
      <c r="J158" s="4">
        <f t="shared" si="190"/>
        <v>25000</v>
      </c>
      <c r="K158" s="4">
        <f t="shared" si="190"/>
        <v>0</v>
      </c>
      <c r="L158" s="4">
        <f t="shared" si="190"/>
        <v>25000</v>
      </c>
      <c r="M158" s="4">
        <f t="shared" si="190"/>
        <v>0</v>
      </c>
      <c r="N158" s="4">
        <f t="shared" si="190"/>
        <v>0</v>
      </c>
      <c r="O158" s="4">
        <f t="shared" si="190"/>
        <v>0</v>
      </c>
      <c r="P158" s="4">
        <f t="shared" si="190"/>
        <v>0</v>
      </c>
      <c r="Q158" s="4">
        <f t="shared" si="183"/>
        <v>25000</v>
      </c>
      <c r="R158" s="4">
        <f t="shared" si="190"/>
        <v>0</v>
      </c>
      <c r="S158" s="4">
        <f t="shared" si="190"/>
        <v>0</v>
      </c>
      <c r="T158" s="4">
        <f t="shared" si="190"/>
        <v>0</v>
      </c>
      <c r="U158" s="4">
        <f t="shared" si="172"/>
        <v>0</v>
      </c>
      <c r="V158" s="4">
        <f t="shared" si="173"/>
        <v>25000</v>
      </c>
      <c r="W158" s="4">
        <f t="shared" ref="W158:Y158" si="191">+W159</f>
        <v>0</v>
      </c>
      <c r="X158" s="67">
        <f t="shared" si="191"/>
        <v>0</v>
      </c>
      <c r="Y158" s="4">
        <f t="shared" si="191"/>
        <v>0</v>
      </c>
      <c r="Z158" s="4">
        <f t="shared" si="174"/>
        <v>25000</v>
      </c>
      <c r="AA158" s="5">
        <f t="shared" si="175"/>
        <v>100</v>
      </c>
      <c r="AB158" s="4">
        <f t="shared" si="164"/>
        <v>0</v>
      </c>
      <c r="AC158" s="4">
        <f t="shared" si="165"/>
        <v>100</v>
      </c>
    </row>
    <row r="159" spans="1:29" s="16" customFormat="1" ht="72" customHeight="1" x14ac:dyDescent="0.25">
      <c r="A159" s="8" t="s">
        <v>607</v>
      </c>
      <c r="B159" s="7" t="s">
        <v>196</v>
      </c>
      <c r="C159" s="24" t="s">
        <v>400</v>
      </c>
      <c r="D159" s="4">
        <v>0</v>
      </c>
      <c r="E159" s="4">
        <v>25000</v>
      </c>
      <c r="F159" s="4">
        <v>25000</v>
      </c>
      <c r="G159" s="4">
        <v>25000</v>
      </c>
      <c r="H159" s="4">
        <v>25000</v>
      </c>
      <c r="I159" s="4">
        <v>0</v>
      </c>
      <c r="J159" s="4">
        <v>25000</v>
      </c>
      <c r="K159" s="4">
        <v>0</v>
      </c>
      <c r="L159" s="4">
        <f>I159+J159+K159</f>
        <v>25000</v>
      </c>
      <c r="M159" s="4">
        <v>0</v>
      </c>
      <c r="N159" s="4">
        <v>0</v>
      </c>
      <c r="O159" s="4">
        <v>0</v>
      </c>
      <c r="P159" s="4">
        <f>M159+N159+O159</f>
        <v>0</v>
      </c>
      <c r="Q159" s="4">
        <f t="shared" si="183"/>
        <v>25000</v>
      </c>
      <c r="R159" s="4">
        <v>0</v>
      </c>
      <c r="S159" s="4">
        <v>0</v>
      </c>
      <c r="T159" s="4">
        <v>0</v>
      </c>
      <c r="U159" s="4">
        <f t="shared" si="172"/>
        <v>0</v>
      </c>
      <c r="V159" s="4">
        <f t="shared" si="173"/>
        <v>25000</v>
      </c>
      <c r="W159" s="4">
        <v>0</v>
      </c>
      <c r="X159" s="67">
        <v>0</v>
      </c>
      <c r="Y159" s="4">
        <v>0</v>
      </c>
      <c r="Z159" s="4">
        <f t="shared" si="174"/>
        <v>25000</v>
      </c>
      <c r="AA159" s="5">
        <f t="shared" si="175"/>
        <v>100</v>
      </c>
      <c r="AB159" s="4">
        <f t="shared" si="164"/>
        <v>0</v>
      </c>
      <c r="AC159" s="4">
        <f t="shared" si="165"/>
        <v>100</v>
      </c>
    </row>
    <row r="160" spans="1:29" s="16" customFormat="1" ht="55.8" customHeight="1" x14ac:dyDescent="0.25">
      <c r="A160" s="19" t="s">
        <v>213</v>
      </c>
      <c r="B160" s="7" t="s">
        <v>5</v>
      </c>
      <c r="C160" s="24" t="s">
        <v>214</v>
      </c>
      <c r="D160" s="4">
        <f t="shared" ref="D160:T160" si="192">+D161</f>
        <v>612800</v>
      </c>
      <c r="E160" s="4">
        <f t="shared" si="192"/>
        <v>612800</v>
      </c>
      <c r="F160" s="4">
        <f t="shared" si="192"/>
        <v>612800</v>
      </c>
      <c r="G160" s="4">
        <f t="shared" si="192"/>
        <v>612800</v>
      </c>
      <c r="H160" s="4">
        <f t="shared" si="192"/>
        <v>671000</v>
      </c>
      <c r="I160" s="4">
        <f t="shared" si="192"/>
        <v>28574.720000000001</v>
      </c>
      <c r="J160" s="4">
        <f t="shared" si="192"/>
        <v>95622.88</v>
      </c>
      <c r="K160" s="4">
        <f t="shared" si="192"/>
        <v>63177.29</v>
      </c>
      <c r="L160" s="4">
        <f t="shared" si="192"/>
        <v>187374.89</v>
      </c>
      <c r="M160" s="4">
        <f t="shared" si="192"/>
        <v>23000.06</v>
      </c>
      <c r="N160" s="4">
        <f t="shared" si="192"/>
        <v>18687.53</v>
      </c>
      <c r="O160" s="4">
        <f t="shared" si="192"/>
        <v>35011.71</v>
      </c>
      <c r="P160" s="4">
        <f t="shared" si="192"/>
        <v>76699.299999999988</v>
      </c>
      <c r="Q160" s="4">
        <f t="shared" si="183"/>
        <v>264074.19</v>
      </c>
      <c r="R160" s="4">
        <f t="shared" si="192"/>
        <v>12798.94</v>
      </c>
      <c r="S160" s="4">
        <f t="shared" si="192"/>
        <v>117522.93</v>
      </c>
      <c r="T160" s="4">
        <f t="shared" si="192"/>
        <v>82517.740000000005</v>
      </c>
      <c r="U160" s="4">
        <f t="shared" si="172"/>
        <v>212839.61</v>
      </c>
      <c r="V160" s="4">
        <f t="shared" si="173"/>
        <v>476913.8</v>
      </c>
      <c r="W160" s="4">
        <f t="shared" ref="W160:Y160" si="193">+W161</f>
        <v>76500.960000000006</v>
      </c>
      <c r="X160" s="67">
        <f t="shared" si="193"/>
        <v>23996.19</v>
      </c>
      <c r="Y160" s="4">
        <f t="shared" si="193"/>
        <v>196970.49</v>
      </c>
      <c r="Z160" s="4">
        <f t="shared" si="174"/>
        <v>774381.44</v>
      </c>
      <c r="AA160" s="5">
        <f t="shared" si="175"/>
        <v>71.075081967213123</v>
      </c>
      <c r="AB160" s="4">
        <f t="shared" si="164"/>
        <v>103381.43999999994</v>
      </c>
      <c r="AC160" s="4">
        <f t="shared" si="165"/>
        <v>115.40707004470939</v>
      </c>
    </row>
    <row r="161" spans="1:29" s="16" customFormat="1" ht="79.2" x14ac:dyDescent="0.25">
      <c r="A161" s="19" t="s">
        <v>215</v>
      </c>
      <c r="B161" s="7" t="s">
        <v>196</v>
      </c>
      <c r="C161" s="24" t="s">
        <v>216</v>
      </c>
      <c r="D161" s="4">
        <v>612800</v>
      </c>
      <c r="E161" s="4">
        <v>612800</v>
      </c>
      <c r="F161" s="4">
        <v>612800</v>
      </c>
      <c r="G161" s="4">
        <v>612800</v>
      </c>
      <c r="H161" s="4">
        <v>671000</v>
      </c>
      <c r="I161" s="4">
        <v>28574.720000000001</v>
      </c>
      <c r="J161" s="4">
        <v>95622.88</v>
      </c>
      <c r="K161" s="4">
        <v>63177.29</v>
      </c>
      <c r="L161" s="4">
        <f>I161+J161+K161</f>
        <v>187374.89</v>
      </c>
      <c r="M161" s="4">
        <v>23000.06</v>
      </c>
      <c r="N161" s="4">
        <v>18687.53</v>
      </c>
      <c r="O161" s="4">
        <v>35011.71</v>
      </c>
      <c r="P161" s="4">
        <f>M161+N161+O161</f>
        <v>76699.299999999988</v>
      </c>
      <c r="Q161" s="4">
        <f t="shared" si="183"/>
        <v>264074.19</v>
      </c>
      <c r="R161" s="4">
        <v>12798.94</v>
      </c>
      <c r="S161" s="4">
        <v>117522.93</v>
      </c>
      <c r="T161" s="4">
        <v>82517.740000000005</v>
      </c>
      <c r="U161" s="4">
        <f t="shared" si="172"/>
        <v>212839.61</v>
      </c>
      <c r="V161" s="4">
        <f t="shared" si="173"/>
        <v>476913.8</v>
      </c>
      <c r="W161" s="4">
        <v>76500.960000000006</v>
      </c>
      <c r="X161" s="67">
        <v>23996.19</v>
      </c>
      <c r="Y161" s="4">
        <v>196970.49</v>
      </c>
      <c r="Z161" s="4">
        <f t="shared" si="174"/>
        <v>774381.44</v>
      </c>
      <c r="AA161" s="5">
        <f t="shared" si="175"/>
        <v>71.075081967213123</v>
      </c>
      <c r="AB161" s="4">
        <f t="shared" si="164"/>
        <v>103381.43999999994</v>
      </c>
      <c r="AC161" s="4">
        <f t="shared" si="165"/>
        <v>115.40707004470939</v>
      </c>
    </row>
    <row r="162" spans="1:29" s="16" customFormat="1" ht="56.4" customHeight="1" x14ac:dyDescent="0.25">
      <c r="A162" s="19" t="s">
        <v>217</v>
      </c>
      <c r="B162" s="7" t="s">
        <v>5</v>
      </c>
      <c r="C162" s="24" t="s">
        <v>218</v>
      </c>
      <c r="D162" s="4">
        <f t="shared" ref="D162:P162" si="194">+D164+D163</f>
        <v>51300</v>
      </c>
      <c r="E162" s="4">
        <f t="shared" si="194"/>
        <v>51300</v>
      </c>
      <c r="F162" s="4">
        <f t="shared" si="194"/>
        <v>51300</v>
      </c>
      <c r="G162" s="4">
        <f t="shared" si="194"/>
        <v>51300</v>
      </c>
      <c r="H162" s="4">
        <f t="shared" si="194"/>
        <v>92000</v>
      </c>
      <c r="I162" s="4">
        <f t="shared" si="194"/>
        <v>4606.18</v>
      </c>
      <c r="J162" s="4">
        <f t="shared" si="194"/>
        <v>5323.8</v>
      </c>
      <c r="K162" s="4">
        <f t="shared" si="194"/>
        <v>20009.45</v>
      </c>
      <c r="L162" s="4">
        <f t="shared" si="194"/>
        <v>29939.43</v>
      </c>
      <c r="M162" s="4">
        <f t="shared" si="194"/>
        <v>13000.51</v>
      </c>
      <c r="N162" s="4">
        <f t="shared" si="194"/>
        <v>5930.72</v>
      </c>
      <c r="O162" s="4">
        <f t="shared" si="194"/>
        <v>6410.14</v>
      </c>
      <c r="P162" s="4">
        <f t="shared" si="194"/>
        <v>25341.37</v>
      </c>
      <c r="Q162" s="4">
        <f t="shared" si="183"/>
        <v>55280.800000000003</v>
      </c>
      <c r="R162" s="4">
        <f t="shared" ref="R162:T162" si="195">+R164+R163</f>
        <v>5479.96</v>
      </c>
      <c r="S162" s="4">
        <f t="shared" si="195"/>
        <v>6979.59</v>
      </c>
      <c r="T162" s="4">
        <f t="shared" si="195"/>
        <v>6687.79</v>
      </c>
      <c r="U162" s="4">
        <f t="shared" si="172"/>
        <v>19147.34</v>
      </c>
      <c r="V162" s="4">
        <f t="shared" si="173"/>
        <v>74428.14</v>
      </c>
      <c r="W162" s="4">
        <f t="shared" ref="W162:Y162" si="196">+W164+W163</f>
        <v>5409.68</v>
      </c>
      <c r="X162" s="67">
        <f t="shared" si="196"/>
        <v>6101.45</v>
      </c>
      <c r="Y162" s="4">
        <f t="shared" si="196"/>
        <v>33324.800000000003</v>
      </c>
      <c r="Z162" s="4">
        <f t="shared" si="174"/>
        <v>119264.07</v>
      </c>
      <c r="AA162" s="5">
        <f t="shared" si="175"/>
        <v>80.900152173913042</v>
      </c>
      <c r="AB162" s="4">
        <f t="shared" si="164"/>
        <v>27264.070000000007</v>
      </c>
      <c r="AC162" s="4">
        <f t="shared" si="165"/>
        <v>129.63485869565218</v>
      </c>
    </row>
    <row r="163" spans="1:29" s="16" customFormat="1" ht="96" customHeight="1" x14ac:dyDescent="0.25">
      <c r="A163" s="19" t="s">
        <v>219</v>
      </c>
      <c r="B163" s="7" t="s">
        <v>196</v>
      </c>
      <c r="C163" s="24" t="s">
        <v>220</v>
      </c>
      <c r="D163" s="4">
        <v>36300</v>
      </c>
      <c r="E163" s="4">
        <v>36300</v>
      </c>
      <c r="F163" s="4">
        <v>36300</v>
      </c>
      <c r="G163" s="4">
        <v>36300</v>
      </c>
      <c r="H163" s="4">
        <v>92000</v>
      </c>
      <c r="I163" s="4">
        <v>4606.18</v>
      </c>
      <c r="J163" s="4">
        <v>5323.8</v>
      </c>
      <c r="K163" s="4">
        <v>20009.45</v>
      </c>
      <c r="L163" s="4">
        <f>I163+J163+K163</f>
        <v>29939.43</v>
      </c>
      <c r="M163" s="4">
        <v>13000.51</v>
      </c>
      <c r="N163" s="4">
        <v>5930.72</v>
      </c>
      <c r="O163" s="4">
        <v>6410.14</v>
      </c>
      <c r="P163" s="4">
        <f>M163+N163+O163</f>
        <v>25341.37</v>
      </c>
      <c r="Q163" s="4">
        <f t="shared" si="183"/>
        <v>55280.800000000003</v>
      </c>
      <c r="R163" s="4">
        <v>5479.96</v>
      </c>
      <c r="S163" s="4">
        <v>6979.59</v>
      </c>
      <c r="T163" s="4">
        <v>6687.79</v>
      </c>
      <c r="U163" s="4">
        <f t="shared" si="172"/>
        <v>19147.34</v>
      </c>
      <c r="V163" s="4">
        <f t="shared" si="173"/>
        <v>74428.14</v>
      </c>
      <c r="W163" s="4">
        <v>5409.68</v>
      </c>
      <c r="X163" s="67">
        <v>6101.45</v>
      </c>
      <c r="Y163" s="4">
        <v>33324.800000000003</v>
      </c>
      <c r="Z163" s="4">
        <f t="shared" si="174"/>
        <v>119264.07</v>
      </c>
      <c r="AA163" s="5">
        <f t="shared" si="175"/>
        <v>80.900152173913042</v>
      </c>
      <c r="AB163" s="4">
        <f t="shared" si="164"/>
        <v>27264.070000000007</v>
      </c>
      <c r="AC163" s="4">
        <f t="shared" si="165"/>
        <v>129.63485869565218</v>
      </c>
    </row>
    <row r="164" spans="1:29" s="16" customFormat="1" ht="171.6" hidden="1" x14ac:dyDescent="0.25">
      <c r="A164" s="19" t="s">
        <v>221</v>
      </c>
      <c r="B164" s="7" t="s">
        <v>222</v>
      </c>
      <c r="C164" s="24" t="s">
        <v>223</v>
      </c>
      <c r="D164" s="4">
        <v>15000</v>
      </c>
      <c r="E164" s="4">
        <v>15000</v>
      </c>
      <c r="F164" s="4">
        <v>15000</v>
      </c>
      <c r="G164" s="4">
        <v>15000</v>
      </c>
      <c r="H164" s="4">
        <v>0</v>
      </c>
      <c r="I164" s="4">
        <v>0</v>
      </c>
      <c r="J164" s="4">
        <v>0</v>
      </c>
      <c r="K164" s="4">
        <v>0</v>
      </c>
      <c r="L164" s="4">
        <f>I164+J164+K164</f>
        <v>0</v>
      </c>
      <c r="M164" s="4">
        <v>0</v>
      </c>
      <c r="N164" s="4">
        <v>0</v>
      </c>
      <c r="O164" s="4">
        <v>0</v>
      </c>
      <c r="P164" s="4">
        <f>M164+N164+O164</f>
        <v>0</v>
      </c>
      <c r="Q164" s="4">
        <f t="shared" si="183"/>
        <v>0</v>
      </c>
      <c r="R164" s="4">
        <v>0</v>
      </c>
      <c r="S164" s="4">
        <v>0</v>
      </c>
      <c r="T164" s="4">
        <v>0</v>
      </c>
      <c r="U164" s="4">
        <f t="shared" si="172"/>
        <v>0</v>
      </c>
      <c r="V164" s="4">
        <f t="shared" si="173"/>
        <v>0</v>
      </c>
      <c r="W164" s="4">
        <v>0</v>
      </c>
      <c r="X164" s="67">
        <v>0</v>
      </c>
      <c r="Y164" s="4">
        <v>0</v>
      </c>
      <c r="Z164" s="4">
        <f t="shared" si="174"/>
        <v>0</v>
      </c>
      <c r="AA164" s="5" t="e">
        <f t="shared" si="175"/>
        <v>#DIV/0!</v>
      </c>
      <c r="AB164" s="4">
        <f t="shared" si="164"/>
        <v>0</v>
      </c>
      <c r="AC164" s="4" t="e">
        <f t="shared" si="165"/>
        <v>#DIV/0!</v>
      </c>
    </row>
    <row r="165" spans="1:29" s="16" customFormat="1" ht="52.8" x14ac:dyDescent="0.25">
      <c r="A165" s="19" t="s">
        <v>530</v>
      </c>
      <c r="B165" s="7" t="s">
        <v>5</v>
      </c>
      <c r="C165" s="24" t="s">
        <v>533</v>
      </c>
      <c r="D165" s="4"/>
      <c r="E165" s="4"/>
      <c r="F165" s="4"/>
      <c r="G165" s="4"/>
      <c r="H165" s="4">
        <f>H166</f>
        <v>3166</v>
      </c>
      <c r="I165" s="4">
        <f t="shared" ref="I165:Y165" si="197">I166</f>
        <v>0</v>
      </c>
      <c r="J165" s="4">
        <f t="shared" si="197"/>
        <v>0</v>
      </c>
      <c r="K165" s="4">
        <f t="shared" si="197"/>
        <v>0</v>
      </c>
      <c r="L165" s="4">
        <f t="shared" si="197"/>
        <v>0</v>
      </c>
      <c r="M165" s="4">
        <f t="shared" si="197"/>
        <v>0</v>
      </c>
      <c r="N165" s="4">
        <f t="shared" si="197"/>
        <v>0</v>
      </c>
      <c r="O165" s="4">
        <f t="shared" si="197"/>
        <v>0</v>
      </c>
      <c r="P165" s="4">
        <f t="shared" si="197"/>
        <v>0</v>
      </c>
      <c r="Q165" s="4">
        <f t="shared" si="197"/>
        <v>0</v>
      </c>
      <c r="R165" s="4">
        <f t="shared" si="197"/>
        <v>0</v>
      </c>
      <c r="S165" s="4">
        <f t="shared" si="197"/>
        <v>2000</v>
      </c>
      <c r="T165" s="4">
        <f t="shared" si="197"/>
        <v>0</v>
      </c>
      <c r="U165" s="4">
        <f t="shared" si="172"/>
        <v>2000</v>
      </c>
      <c r="V165" s="4">
        <f t="shared" si="173"/>
        <v>2000</v>
      </c>
      <c r="W165" s="4">
        <f t="shared" si="197"/>
        <v>0</v>
      </c>
      <c r="X165" s="67">
        <f t="shared" si="197"/>
        <v>0</v>
      </c>
      <c r="Y165" s="4">
        <f t="shared" si="197"/>
        <v>917.3</v>
      </c>
      <c r="Z165" s="4">
        <f t="shared" si="174"/>
        <v>2917.3</v>
      </c>
      <c r="AA165" s="5"/>
      <c r="AB165" s="4">
        <f t="shared" si="164"/>
        <v>-248.69999999999982</v>
      </c>
      <c r="AC165" s="4">
        <f t="shared" si="165"/>
        <v>92.144662034112443</v>
      </c>
    </row>
    <row r="166" spans="1:29" s="16" customFormat="1" ht="69" customHeight="1" x14ac:dyDescent="0.25">
      <c r="A166" s="19" t="s">
        <v>531</v>
      </c>
      <c r="B166" s="7" t="s">
        <v>196</v>
      </c>
      <c r="C166" s="24" t="s">
        <v>532</v>
      </c>
      <c r="D166" s="4"/>
      <c r="E166" s="4"/>
      <c r="F166" s="4"/>
      <c r="G166" s="4"/>
      <c r="H166" s="4">
        <v>3166</v>
      </c>
      <c r="I166" s="4"/>
      <c r="J166" s="4"/>
      <c r="K166" s="4"/>
      <c r="L166" s="4"/>
      <c r="M166" s="4"/>
      <c r="N166" s="4"/>
      <c r="O166" s="4"/>
      <c r="P166" s="4"/>
      <c r="Q166" s="4"/>
      <c r="R166" s="4">
        <v>0</v>
      </c>
      <c r="S166" s="4">
        <v>2000</v>
      </c>
      <c r="T166" s="4">
        <v>0</v>
      </c>
      <c r="U166" s="4">
        <f t="shared" si="172"/>
        <v>2000</v>
      </c>
      <c r="V166" s="4">
        <f t="shared" si="173"/>
        <v>2000</v>
      </c>
      <c r="W166" s="4">
        <v>0</v>
      </c>
      <c r="X166" s="67">
        <v>0</v>
      </c>
      <c r="Y166" s="4">
        <v>917.3</v>
      </c>
      <c r="Z166" s="4">
        <f t="shared" si="174"/>
        <v>2917.3</v>
      </c>
      <c r="AA166" s="5"/>
      <c r="AB166" s="4">
        <f t="shared" si="164"/>
        <v>-248.69999999999982</v>
      </c>
      <c r="AC166" s="4">
        <f t="shared" si="165"/>
        <v>92.144662034112443</v>
      </c>
    </row>
    <row r="167" spans="1:29" s="16" customFormat="1" ht="52.8" x14ac:dyDescent="0.25">
      <c r="A167" s="19" t="s">
        <v>224</v>
      </c>
      <c r="B167" s="7" t="s">
        <v>5</v>
      </c>
      <c r="C167" s="24" t="s">
        <v>225</v>
      </c>
      <c r="D167" s="4">
        <f t="shared" ref="D167:T167" si="198">+D168</f>
        <v>1300</v>
      </c>
      <c r="E167" s="4">
        <f t="shared" si="198"/>
        <v>1300</v>
      </c>
      <c r="F167" s="4">
        <f t="shared" si="198"/>
        <v>1300</v>
      </c>
      <c r="G167" s="4">
        <f t="shared" si="198"/>
        <v>1300</v>
      </c>
      <c r="H167" s="4">
        <f t="shared" si="198"/>
        <v>8445</v>
      </c>
      <c r="I167" s="4">
        <f t="shared" si="198"/>
        <v>12.94</v>
      </c>
      <c r="J167" s="4">
        <f t="shared" si="198"/>
        <v>501</v>
      </c>
      <c r="K167" s="4">
        <f t="shared" si="198"/>
        <v>267.73</v>
      </c>
      <c r="L167" s="4">
        <f t="shared" si="198"/>
        <v>781.67000000000007</v>
      </c>
      <c r="M167" s="4">
        <f t="shared" si="198"/>
        <v>269.81</v>
      </c>
      <c r="N167" s="4">
        <f t="shared" si="198"/>
        <v>1590.97</v>
      </c>
      <c r="O167" s="4">
        <f t="shared" si="198"/>
        <v>2388.46</v>
      </c>
      <c r="P167" s="4">
        <f t="shared" si="198"/>
        <v>4249.24</v>
      </c>
      <c r="Q167" s="4">
        <f t="shared" si="183"/>
        <v>5030.91</v>
      </c>
      <c r="R167" s="4">
        <f t="shared" si="198"/>
        <v>156.79</v>
      </c>
      <c r="S167" s="4">
        <f t="shared" si="198"/>
        <v>6.89</v>
      </c>
      <c r="T167" s="4">
        <f t="shared" si="198"/>
        <v>1379.48</v>
      </c>
      <c r="U167" s="4">
        <f t="shared" si="172"/>
        <v>1543.16</v>
      </c>
      <c r="V167" s="4">
        <f t="shared" si="173"/>
        <v>6574.07</v>
      </c>
      <c r="W167" s="4">
        <f t="shared" ref="W167:Y167" si="199">+W168</f>
        <v>197.36</v>
      </c>
      <c r="X167" s="67">
        <f t="shared" si="199"/>
        <v>1250</v>
      </c>
      <c r="Y167" s="4">
        <f t="shared" si="199"/>
        <v>-0.01</v>
      </c>
      <c r="Z167" s="4">
        <f t="shared" si="174"/>
        <v>8021.4199999999992</v>
      </c>
      <c r="AA167" s="5">
        <f t="shared" si="175"/>
        <v>77.84570751924214</v>
      </c>
      <c r="AB167" s="4">
        <f t="shared" si="164"/>
        <v>-423.58000000000084</v>
      </c>
      <c r="AC167" s="4">
        <f t="shared" si="165"/>
        <v>94.984251036116035</v>
      </c>
    </row>
    <row r="168" spans="1:29" s="16" customFormat="1" ht="71.400000000000006" customHeight="1" x14ac:dyDescent="0.25">
      <c r="A168" s="19" t="s">
        <v>226</v>
      </c>
      <c r="B168" s="7" t="s">
        <v>196</v>
      </c>
      <c r="C168" s="24" t="s">
        <v>227</v>
      </c>
      <c r="D168" s="4">
        <v>1300</v>
      </c>
      <c r="E168" s="4">
        <v>1300</v>
      </c>
      <c r="F168" s="4">
        <v>1300</v>
      </c>
      <c r="G168" s="4">
        <v>1300</v>
      </c>
      <c r="H168" s="4">
        <v>8445</v>
      </c>
      <c r="I168" s="4">
        <v>12.94</v>
      </c>
      <c r="J168" s="4">
        <v>501</v>
      </c>
      <c r="K168" s="4">
        <v>267.73</v>
      </c>
      <c r="L168" s="4">
        <f>I168+J168+K168</f>
        <v>781.67000000000007</v>
      </c>
      <c r="M168" s="4">
        <v>269.81</v>
      </c>
      <c r="N168" s="4">
        <v>1590.97</v>
      </c>
      <c r="O168" s="4">
        <v>2388.46</v>
      </c>
      <c r="P168" s="4">
        <f>M168+N168+O168</f>
        <v>4249.24</v>
      </c>
      <c r="Q168" s="4">
        <f t="shared" si="183"/>
        <v>5030.91</v>
      </c>
      <c r="R168" s="4">
        <v>156.79</v>
      </c>
      <c r="S168" s="4">
        <v>6.89</v>
      </c>
      <c r="T168" s="4">
        <v>1379.48</v>
      </c>
      <c r="U168" s="4">
        <f t="shared" si="172"/>
        <v>1543.16</v>
      </c>
      <c r="V168" s="4">
        <f t="shared" si="173"/>
        <v>6574.07</v>
      </c>
      <c r="W168" s="4">
        <v>197.36</v>
      </c>
      <c r="X168" s="67">
        <v>1250</v>
      </c>
      <c r="Y168" s="4">
        <v>-0.01</v>
      </c>
      <c r="Z168" s="4">
        <f t="shared" si="174"/>
        <v>8021.4199999999992</v>
      </c>
      <c r="AA168" s="5">
        <f t="shared" si="175"/>
        <v>77.84570751924214</v>
      </c>
      <c r="AB168" s="4">
        <f t="shared" si="164"/>
        <v>-423.58000000000084</v>
      </c>
      <c r="AC168" s="4">
        <f t="shared" si="165"/>
        <v>94.984251036116035</v>
      </c>
    </row>
    <row r="169" spans="1:29" s="16" customFormat="1" ht="42" customHeight="1" x14ac:dyDescent="0.25">
      <c r="A169" s="19" t="s">
        <v>228</v>
      </c>
      <c r="B169" s="7" t="s">
        <v>5</v>
      </c>
      <c r="C169" s="24" t="s">
        <v>229</v>
      </c>
      <c r="D169" s="4">
        <f t="shared" ref="D169:P169" si="200">+D170+D171</f>
        <v>438600</v>
      </c>
      <c r="E169" s="4">
        <f t="shared" si="200"/>
        <v>438600</v>
      </c>
      <c r="F169" s="4">
        <f t="shared" si="200"/>
        <v>438600</v>
      </c>
      <c r="G169" s="4">
        <f t="shared" si="200"/>
        <v>438600</v>
      </c>
      <c r="H169" s="4">
        <f t="shared" si="200"/>
        <v>304200</v>
      </c>
      <c r="I169" s="4">
        <f t="shared" si="200"/>
        <v>1486.37</v>
      </c>
      <c r="J169" s="4">
        <f t="shared" si="200"/>
        <v>9520.7799999999988</v>
      </c>
      <c r="K169" s="4">
        <f t="shared" si="200"/>
        <v>19031.39</v>
      </c>
      <c r="L169" s="4">
        <f t="shared" si="200"/>
        <v>30038.539999999997</v>
      </c>
      <c r="M169" s="4">
        <f t="shared" si="200"/>
        <v>6355.7800000000007</v>
      </c>
      <c r="N169" s="4">
        <f t="shared" si="200"/>
        <v>125991.95</v>
      </c>
      <c r="O169" s="4">
        <f t="shared" si="200"/>
        <v>12647.720000000001</v>
      </c>
      <c r="P169" s="4">
        <f t="shared" si="200"/>
        <v>144995.45000000001</v>
      </c>
      <c r="Q169" s="4">
        <f t="shared" si="183"/>
        <v>175033.99000000002</v>
      </c>
      <c r="R169" s="4">
        <f t="shared" ref="R169:T169" si="201">+R170+R171</f>
        <v>4013.8700000000003</v>
      </c>
      <c r="S169" s="4">
        <f t="shared" si="201"/>
        <v>57053.87</v>
      </c>
      <c r="T169" s="4">
        <f t="shared" si="201"/>
        <v>12040.08</v>
      </c>
      <c r="U169" s="4">
        <f t="shared" si="172"/>
        <v>73107.820000000007</v>
      </c>
      <c r="V169" s="4">
        <f t="shared" si="173"/>
        <v>248141.81000000003</v>
      </c>
      <c r="W169" s="4">
        <f t="shared" ref="W169:Y169" si="202">+W170+W171</f>
        <v>42457.1</v>
      </c>
      <c r="X169" s="67">
        <f t="shared" si="202"/>
        <v>26655.09</v>
      </c>
      <c r="Y169" s="4">
        <f t="shared" si="202"/>
        <v>-31806.190000000002</v>
      </c>
      <c r="Z169" s="4">
        <f t="shared" si="174"/>
        <v>285447.81000000006</v>
      </c>
      <c r="AA169" s="5">
        <f t="shared" si="175"/>
        <v>81.571929651545048</v>
      </c>
      <c r="AB169" s="4">
        <f t="shared" si="164"/>
        <v>-18752.189999999944</v>
      </c>
      <c r="AC169" s="4">
        <f t="shared" si="165"/>
        <v>93.835571992110474</v>
      </c>
    </row>
    <row r="170" spans="1:29" s="16" customFormat="1" ht="66" x14ac:dyDescent="0.25">
      <c r="A170" s="19" t="s">
        <v>230</v>
      </c>
      <c r="B170" s="7" t="s">
        <v>194</v>
      </c>
      <c r="C170" s="24" t="s">
        <v>231</v>
      </c>
      <c r="D170" s="4">
        <v>3000</v>
      </c>
      <c r="E170" s="4">
        <v>3000</v>
      </c>
      <c r="F170" s="4">
        <v>3000</v>
      </c>
      <c r="G170" s="4">
        <v>3000</v>
      </c>
      <c r="H170" s="4">
        <v>4200</v>
      </c>
      <c r="I170" s="4">
        <v>0</v>
      </c>
      <c r="J170" s="4">
        <v>0</v>
      </c>
      <c r="K170" s="4">
        <v>34.11</v>
      </c>
      <c r="L170" s="4">
        <f>I170+J170+K170</f>
        <v>34.11</v>
      </c>
      <c r="M170" s="4">
        <v>0</v>
      </c>
      <c r="N170" s="4">
        <v>0.25</v>
      </c>
      <c r="O170" s="4">
        <v>1052.29</v>
      </c>
      <c r="P170" s="4">
        <f>M170+N170+O170</f>
        <v>1052.54</v>
      </c>
      <c r="Q170" s="4">
        <f t="shared" si="183"/>
        <v>1086.6499999999999</v>
      </c>
      <c r="R170" s="4">
        <v>2.86</v>
      </c>
      <c r="S170" s="4">
        <v>2000.36</v>
      </c>
      <c r="T170" s="4">
        <v>1028.18</v>
      </c>
      <c r="U170" s="4">
        <f t="shared" si="172"/>
        <v>3031.3999999999996</v>
      </c>
      <c r="V170" s="4">
        <f t="shared" si="173"/>
        <v>4118.0499999999993</v>
      </c>
      <c r="W170" s="4">
        <v>0</v>
      </c>
      <c r="X170" s="67">
        <v>0</v>
      </c>
      <c r="Y170" s="4">
        <v>668.71</v>
      </c>
      <c r="Z170" s="4">
        <f t="shared" si="174"/>
        <v>4786.7599999999993</v>
      </c>
      <c r="AA170" s="5">
        <f t="shared" si="175"/>
        <v>98.04880952380951</v>
      </c>
      <c r="AB170" s="4">
        <f t="shared" si="164"/>
        <v>586.75999999999931</v>
      </c>
      <c r="AC170" s="4">
        <f t="shared" si="165"/>
        <v>113.97047619047618</v>
      </c>
    </row>
    <row r="171" spans="1:29" s="16" customFormat="1" ht="66" x14ac:dyDescent="0.25">
      <c r="A171" s="19" t="s">
        <v>230</v>
      </c>
      <c r="B171" s="7" t="s">
        <v>196</v>
      </c>
      <c r="C171" s="24" t="s">
        <v>231</v>
      </c>
      <c r="D171" s="4">
        <v>435600</v>
      </c>
      <c r="E171" s="4">
        <v>435600</v>
      </c>
      <c r="F171" s="4">
        <v>435600</v>
      </c>
      <c r="G171" s="4">
        <v>435600</v>
      </c>
      <c r="H171" s="4">
        <v>300000</v>
      </c>
      <c r="I171" s="4">
        <v>1486.37</v>
      </c>
      <c r="J171" s="4">
        <f>5000+77.66+2500+1943.12</f>
        <v>9520.7799999999988</v>
      </c>
      <c r="K171" s="4">
        <f>12463.06+1419.51+5114.82-0.11</f>
        <v>18997.28</v>
      </c>
      <c r="L171" s="4">
        <f>I171+J171+K171</f>
        <v>30004.429999999997</v>
      </c>
      <c r="M171" s="4">
        <f>2500+3855.78</f>
        <v>6355.7800000000007</v>
      </c>
      <c r="N171" s="4">
        <f>117500+1500+3000+3991.7</f>
        <v>125991.7</v>
      </c>
      <c r="O171" s="4">
        <v>11595.43</v>
      </c>
      <c r="P171" s="4">
        <f>M171+N171+O171</f>
        <v>143942.91</v>
      </c>
      <c r="Q171" s="4">
        <f t="shared" si="183"/>
        <v>173947.34</v>
      </c>
      <c r="R171" s="4">
        <v>4011.01</v>
      </c>
      <c r="S171" s="4">
        <v>55053.51</v>
      </c>
      <c r="T171" s="4">
        <v>11011.9</v>
      </c>
      <c r="U171" s="4">
        <f t="shared" si="172"/>
        <v>70076.42</v>
      </c>
      <c r="V171" s="4">
        <f t="shared" si="173"/>
        <v>244023.76</v>
      </c>
      <c r="W171" s="4">
        <v>42457.1</v>
      </c>
      <c r="X171" s="67">
        <v>26655.09</v>
      </c>
      <c r="Y171" s="4">
        <v>-32474.9</v>
      </c>
      <c r="Z171" s="4">
        <f t="shared" si="174"/>
        <v>280661.05</v>
      </c>
      <c r="AA171" s="5">
        <f t="shared" si="175"/>
        <v>81.341253333333341</v>
      </c>
      <c r="AB171" s="4">
        <f t="shared" si="164"/>
        <v>-19338.950000000012</v>
      </c>
      <c r="AC171" s="4">
        <f t="shared" si="165"/>
        <v>93.553683333333325</v>
      </c>
    </row>
    <row r="172" spans="1:29" s="16" customFormat="1" ht="54.6" customHeight="1" x14ac:dyDescent="0.25">
      <c r="A172" s="19" t="s">
        <v>232</v>
      </c>
      <c r="B172" s="7" t="s">
        <v>5</v>
      </c>
      <c r="C172" s="24" t="s">
        <v>233</v>
      </c>
      <c r="D172" s="4">
        <f t="shared" ref="D172:P172" si="203">+D173+D174</f>
        <v>312500</v>
      </c>
      <c r="E172" s="4">
        <f t="shared" si="203"/>
        <v>312500</v>
      </c>
      <c r="F172" s="4">
        <f t="shared" si="203"/>
        <v>312500</v>
      </c>
      <c r="G172" s="4">
        <f t="shared" si="203"/>
        <v>312500</v>
      </c>
      <c r="H172" s="4">
        <f t="shared" si="203"/>
        <v>1185300</v>
      </c>
      <c r="I172" s="4">
        <f t="shared" si="203"/>
        <v>28422.28</v>
      </c>
      <c r="J172" s="4">
        <f t="shared" si="203"/>
        <v>51791.03</v>
      </c>
      <c r="K172" s="4">
        <f t="shared" si="203"/>
        <v>63144.47</v>
      </c>
      <c r="L172" s="4">
        <f t="shared" si="203"/>
        <v>143357.78</v>
      </c>
      <c r="M172" s="4">
        <f t="shared" si="203"/>
        <v>71806.61</v>
      </c>
      <c r="N172" s="4">
        <f t="shared" si="203"/>
        <v>63673.880000000005</v>
      </c>
      <c r="O172" s="4">
        <f t="shared" si="203"/>
        <v>213140.59</v>
      </c>
      <c r="P172" s="4">
        <f t="shared" si="203"/>
        <v>348621.08</v>
      </c>
      <c r="Q172" s="4">
        <f t="shared" si="183"/>
        <v>491978.86</v>
      </c>
      <c r="R172" s="4">
        <f t="shared" ref="R172:T172" si="204">+R173+R174</f>
        <v>65021.52</v>
      </c>
      <c r="S172" s="4">
        <f t="shared" si="204"/>
        <v>50353.120000000003</v>
      </c>
      <c r="T172" s="4">
        <f t="shared" si="204"/>
        <v>119073.97</v>
      </c>
      <c r="U172" s="4">
        <f t="shared" si="172"/>
        <v>234448.61</v>
      </c>
      <c r="V172" s="4">
        <f t="shared" si="173"/>
        <v>726427.47</v>
      </c>
      <c r="W172" s="4">
        <f t="shared" ref="W172:Y172" si="205">+W173+W174</f>
        <v>257750.19</v>
      </c>
      <c r="X172" s="67">
        <f t="shared" si="205"/>
        <v>56508.04</v>
      </c>
      <c r="Y172" s="4">
        <f t="shared" si="205"/>
        <v>191303.59</v>
      </c>
      <c r="Z172" s="4">
        <f t="shared" si="174"/>
        <v>1231989.29</v>
      </c>
      <c r="AA172" s="5">
        <f t="shared" si="175"/>
        <v>61.286380663123253</v>
      </c>
      <c r="AB172" s="4">
        <f t="shared" si="164"/>
        <v>46689.290000000037</v>
      </c>
      <c r="AC172" s="4">
        <f t="shared" si="165"/>
        <v>103.93902725048511</v>
      </c>
    </row>
    <row r="173" spans="1:29" s="16" customFormat="1" ht="79.2" x14ac:dyDescent="0.25">
      <c r="A173" s="19" t="s">
        <v>234</v>
      </c>
      <c r="B173" s="7" t="s">
        <v>194</v>
      </c>
      <c r="C173" s="24" t="s">
        <v>235</v>
      </c>
      <c r="D173" s="4">
        <v>7000</v>
      </c>
      <c r="E173" s="4">
        <v>7000</v>
      </c>
      <c r="F173" s="4">
        <v>7000</v>
      </c>
      <c r="G173" s="4">
        <v>7000</v>
      </c>
      <c r="H173" s="4">
        <v>60000</v>
      </c>
      <c r="I173" s="4">
        <v>2113.0500000000002</v>
      </c>
      <c r="J173" s="4">
        <v>1022.89</v>
      </c>
      <c r="K173" s="4">
        <v>3288.31</v>
      </c>
      <c r="L173" s="4">
        <f>I173+J173+K173</f>
        <v>6424.25</v>
      </c>
      <c r="M173" s="4">
        <v>1639.98</v>
      </c>
      <c r="N173" s="4">
        <v>11209.3</v>
      </c>
      <c r="O173" s="4">
        <v>13038.77</v>
      </c>
      <c r="P173" s="4">
        <f>M173+N173+O173</f>
        <v>25888.05</v>
      </c>
      <c r="Q173" s="4">
        <f t="shared" si="183"/>
        <v>32312.3</v>
      </c>
      <c r="R173" s="4">
        <v>3441.27</v>
      </c>
      <c r="S173" s="4">
        <v>4904.18</v>
      </c>
      <c r="T173" s="4">
        <v>4149.0200000000004</v>
      </c>
      <c r="U173" s="4">
        <f t="shared" si="172"/>
        <v>12494.470000000001</v>
      </c>
      <c r="V173" s="4">
        <f t="shared" si="173"/>
        <v>44806.770000000004</v>
      </c>
      <c r="W173" s="4">
        <v>5518.87</v>
      </c>
      <c r="X173" s="67">
        <v>6949.86</v>
      </c>
      <c r="Y173" s="4">
        <v>6996.01</v>
      </c>
      <c r="Z173" s="4">
        <f t="shared" si="174"/>
        <v>64271.510000000009</v>
      </c>
      <c r="AA173" s="5">
        <f t="shared" si="175"/>
        <v>74.67795000000001</v>
      </c>
      <c r="AB173" s="4">
        <f>Z173-H173</f>
        <v>4271.5100000000093</v>
      </c>
      <c r="AC173" s="4">
        <f t="shared" si="165"/>
        <v>107.11918333333334</v>
      </c>
    </row>
    <row r="174" spans="1:29" s="16" customFormat="1" ht="79.2" x14ac:dyDescent="0.25">
      <c r="A174" s="19" t="s">
        <v>234</v>
      </c>
      <c r="B174" s="7" t="s">
        <v>196</v>
      </c>
      <c r="C174" s="24" t="s">
        <v>235</v>
      </c>
      <c r="D174" s="4">
        <v>305500</v>
      </c>
      <c r="E174" s="4">
        <v>305500</v>
      </c>
      <c r="F174" s="4">
        <v>305500</v>
      </c>
      <c r="G174" s="4">
        <v>305500</v>
      </c>
      <c r="H174" s="4">
        <v>1125300</v>
      </c>
      <c r="I174" s="4">
        <f>1500+3251.09+21558.14</f>
        <v>26309.23</v>
      </c>
      <c r="J174" s="4">
        <f>1750+49018.14</f>
        <v>50768.14</v>
      </c>
      <c r="K174" s="4">
        <f>9500+50356.16</f>
        <v>59856.160000000003</v>
      </c>
      <c r="L174" s="4">
        <f>I174+J174+K174</f>
        <v>136933.53</v>
      </c>
      <c r="M174" s="4">
        <f>6000+64166.63</f>
        <v>70166.63</v>
      </c>
      <c r="N174" s="4">
        <f>9000+43464.58</f>
        <v>52464.58</v>
      </c>
      <c r="O174" s="4">
        <v>200101.82</v>
      </c>
      <c r="P174" s="4">
        <f>M174+N174+O174</f>
        <v>322733.03000000003</v>
      </c>
      <c r="Q174" s="4">
        <f t="shared" si="183"/>
        <v>459666.56000000006</v>
      </c>
      <c r="R174" s="4">
        <v>61580.25</v>
      </c>
      <c r="S174" s="4">
        <v>45448.94</v>
      </c>
      <c r="T174" s="4">
        <v>114924.95</v>
      </c>
      <c r="U174" s="4">
        <f t="shared" si="172"/>
        <v>221954.14</v>
      </c>
      <c r="V174" s="4">
        <f t="shared" si="173"/>
        <v>681620.70000000007</v>
      </c>
      <c r="W174" s="4">
        <v>252231.32</v>
      </c>
      <c r="X174" s="67">
        <v>49558.18</v>
      </c>
      <c r="Y174" s="4">
        <v>184307.58</v>
      </c>
      <c r="Z174" s="4">
        <f t="shared" si="174"/>
        <v>1167717.78</v>
      </c>
      <c r="AA174" s="5">
        <f t="shared" si="175"/>
        <v>60.57235403892296</v>
      </c>
      <c r="AB174" s="4">
        <f t="shared" si="164"/>
        <v>42417.780000000028</v>
      </c>
      <c r="AC174" s="4">
        <f t="shared" si="165"/>
        <v>103.76946414289523</v>
      </c>
    </row>
    <row r="175" spans="1:29" s="16" customFormat="1" ht="30" customHeight="1" x14ac:dyDescent="0.25">
      <c r="A175" s="19" t="s">
        <v>236</v>
      </c>
      <c r="B175" s="30" t="s">
        <v>5</v>
      </c>
      <c r="C175" s="81" t="s">
        <v>237</v>
      </c>
      <c r="D175" s="4">
        <f t="shared" ref="D175:T175" si="206">+D176</f>
        <v>100000</v>
      </c>
      <c r="E175" s="4">
        <f t="shared" si="206"/>
        <v>250000</v>
      </c>
      <c r="F175" s="4">
        <f t="shared" si="206"/>
        <v>250000</v>
      </c>
      <c r="G175" s="4">
        <f t="shared" si="206"/>
        <v>250000</v>
      </c>
      <c r="H175" s="4">
        <f t="shared" si="206"/>
        <v>250000</v>
      </c>
      <c r="I175" s="4">
        <f t="shared" si="206"/>
        <v>6782.99</v>
      </c>
      <c r="J175" s="4">
        <f t="shared" si="206"/>
        <v>40650.25</v>
      </c>
      <c r="K175" s="4">
        <f t="shared" si="206"/>
        <v>38739.32</v>
      </c>
      <c r="L175" s="4">
        <f t="shared" si="206"/>
        <v>86172.56</v>
      </c>
      <c r="M175" s="4">
        <f t="shared" si="206"/>
        <v>21833.55</v>
      </c>
      <c r="N175" s="4">
        <f t="shared" si="206"/>
        <v>21099.58</v>
      </c>
      <c r="O175" s="4">
        <f t="shared" si="206"/>
        <v>12562.65</v>
      </c>
      <c r="P175" s="4">
        <f t="shared" si="206"/>
        <v>55495.780000000006</v>
      </c>
      <c r="Q175" s="4">
        <f t="shared" si="183"/>
        <v>141668.34</v>
      </c>
      <c r="R175" s="4">
        <f t="shared" si="206"/>
        <v>20656.849999999999</v>
      </c>
      <c r="S175" s="4">
        <f t="shared" si="206"/>
        <v>7364.81</v>
      </c>
      <c r="T175" s="4">
        <f t="shared" si="206"/>
        <v>15159.86</v>
      </c>
      <c r="U175" s="4">
        <f t="shared" si="172"/>
        <v>43181.520000000004</v>
      </c>
      <c r="V175" s="4">
        <f t="shared" si="173"/>
        <v>184849.86</v>
      </c>
      <c r="W175" s="4">
        <f t="shared" ref="W175:Y175" si="207">+W176</f>
        <v>3692.51</v>
      </c>
      <c r="X175" s="67">
        <f t="shared" si="207"/>
        <v>6622.86</v>
      </c>
      <c r="Y175" s="4">
        <f t="shared" si="207"/>
        <v>28028.32</v>
      </c>
      <c r="Z175" s="4">
        <f t="shared" si="174"/>
        <v>223193.55</v>
      </c>
      <c r="AA175" s="5">
        <f t="shared" si="175"/>
        <v>73.939943999999997</v>
      </c>
      <c r="AB175" s="4">
        <f t="shared" si="164"/>
        <v>-26806.450000000012</v>
      </c>
      <c r="AC175" s="4">
        <f t="shared" si="165"/>
        <v>89.277419999999992</v>
      </c>
    </row>
    <row r="176" spans="1:29" s="16" customFormat="1" ht="42.6" customHeight="1" x14ac:dyDescent="0.25">
      <c r="A176" s="19" t="s">
        <v>238</v>
      </c>
      <c r="B176" s="30" t="s">
        <v>239</v>
      </c>
      <c r="C176" s="81" t="s">
        <v>240</v>
      </c>
      <c r="D176" s="4">
        <v>100000</v>
      </c>
      <c r="E176" s="4">
        <v>250000</v>
      </c>
      <c r="F176" s="4">
        <v>250000</v>
      </c>
      <c r="G176" s="4">
        <v>250000</v>
      </c>
      <c r="H176" s="4">
        <v>250000</v>
      </c>
      <c r="I176" s="4">
        <v>6782.99</v>
      </c>
      <c r="J176" s="4">
        <v>40650.25</v>
      </c>
      <c r="K176" s="4">
        <v>38739.32</v>
      </c>
      <c r="L176" s="4">
        <f>I176+J176+K176</f>
        <v>86172.56</v>
      </c>
      <c r="M176" s="4">
        <v>21833.55</v>
      </c>
      <c r="N176" s="4">
        <v>21099.58</v>
      </c>
      <c r="O176" s="4">
        <v>12562.65</v>
      </c>
      <c r="P176" s="4">
        <f>M176+N176+O176</f>
        <v>55495.780000000006</v>
      </c>
      <c r="Q176" s="4">
        <f t="shared" si="183"/>
        <v>141668.34</v>
      </c>
      <c r="R176" s="4">
        <v>20656.849999999999</v>
      </c>
      <c r="S176" s="4">
        <v>7364.81</v>
      </c>
      <c r="T176" s="4">
        <v>15159.86</v>
      </c>
      <c r="U176" s="4">
        <f t="shared" si="172"/>
        <v>43181.520000000004</v>
      </c>
      <c r="V176" s="4">
        <f t="shared" si="173"/>
        <v>184849.86</v>
      </c>
      <c r="W176" s="4">
        <v>3692.51</v>
      </c>
      <c r="X176" s="67">
        <v>6622.86</v>
      </c>
      <c r="Y176" s="4">
        <v>28028.32</v>
      </c>
      <c r="Z176" s="4">
        <f t="shared" si="174"/>
        <v>223193.55</v>
      </c>
      <c r="AA176" s="5">
        <f t="shared" si="175"/>
        <v>73.939943999999997</v>
      </c>
      <c r="AB176" s="4">
        <f t="shared" si="164"/>
        <v>-26806.450000000012</v>
      </c>
      <c r="AC176" s="4">
        <f t="shared" si="165"/>
        <v>89.277419999999992</v>
      </c>
    </row>
    <row r="177" spans="1:29" s="16" customFormat="1" ht="92.4" x14ac:dyDescent="0.25">
      <c r="A177" s="19" t="s">
        <v>241</v>
      </c>
      <c r="B177" s="7" t="s">
        <v>5</v>
      </c>
      <c r="C177" s="23" t="s">
        <v>242</v>
      </c>
      <c r="D177" s="4">
        <f t="shared" ref="D177:P177" si="208">+D183+D178</f>
        <v>5013160</v>
      </c>
      <c r="E177" s="4">
        <f t="shared" si="208"/>
        <v>12230344</v>
      </c>
      <c r="F177" s="4">
        <f t="shared" si="208"/>
        <v>12230344</v>
      </c>
      <c r="G177" s="4">
        <f t="shared" si="208"/>
        <v>12237289</v>
      </c>
      <c r="H177" s="4">
        <f t="shared" si="208"/>
        <v>11111960.6</v>
      </c>
      <c r="I177" s="4">
        <f t="shared" si="208"/>
        <v>32479.480000000003</v>
      </c>
      <c r="J177" s="4">
        <f t="shared" si="208"/>
        <v>3613701.4</v>
      </c>
      <c r="K177" s="4">
        <f t="shared" si="208"/>
        <v>2762037.56</v>
      </c>
      <c r="L177" s="4">
        <f t="shared" si="208"/>
        <v>6408218.4399999995</v>
      </c>
      <c r="M177" s="4">
        <f t="shared" si="208"/>
        <v>97844.83</v>
      </c>
      <c r="N177" s="4">
        <f t="shared" si="208"/>
        <v>248416.73</v>
      </c>
      <c r="O177" s="4">
        <f t="shared" si="208"/>
        <v>799945.83</v>
      </c>
      <c r="P177" s="4">
        <f t="shared" si="208"/>
        <v>1146207.3899999999</v>
      </c>
      <c r="Q177" s="4">
        <f t="shared" si="183"/>
        <v>7554425.8299999991</v>
      </c>
      <c r="R177" s="4">
        <f t="shared" ref="R177:T177" si="209">+R183+R178</f>
        <v>829819.94</v>
      </c>
      <c r="S177" s="4">
        <f t="shared" si="209"/>
        <v>690540.78</v>
      </c>
      <c r="T177" s="4">
        <f t="shared" si="209"/>
        <v>653841.04999999993</v>
      </c>
      <c r="U177" s="4">
        <f t="shared" si="172"/>
        <v>2174201.77</v>
      </c>
      <c r="V177" s="4">
        <f t="shared" si="173"/>
        <v>9728627.5999999996</v>
      </c>
      <c r="W177" s="4">
        <f t="shared" ref="W177:Y177" si="210">+W183+W178</f>
        <v>192987.19999999998</v>
      </c>
      <c r="X177" s="67">
        <f t="shared" si="210"/>
        <v>585128.66</v>
      </c>
      <c r="Y177" s="4">
        <f t="shared" si="210"/>
        <v>96205.93</v>
      </c>
      <c r="Z177" s="4">
        <f t="shared" si="174"/>
        <v>10602949.389999999</v>
      </c>
      <c r="AA177" s="5">
        <f t="shared" si="175"/>
        <v>87.550954779303297</v>
      </c>
      <c r="AB177" s="4">
        <f t="shared" si="164"/>
        <v>-509011.21000000089</v>
      </c>
      <c r="AC177" s="4">
        <f t="shared" si="165"/>
        <v>95.419249326711963</v>
      </c>
    </row>
    <row r="178" spans="1:29" s="16" customFormat="1" ht="52.8" x14ac:dyDescent="0.25">
      <c r="A178" s="19" t="s">
        <v>243</v>
      </c>
      <c r="B178" s="7" t="s">
        <v>5</v>
      </c>
      <c r="C178" s="23" t="s">
        <v>244</v>
      </c>
      <c r="D178" s="4">
        <f>+D182+D180</f>
        <v>500</v>
      </c>
      <c r="E178" s="4">
        <f>+E182+E180</f>
        <v>10500</v>
      </c>
      <c r="F178" s="4">
        <f>+F182+F180</f>
        <v>10500</v>
      </c>
      <c r="G178" s="4">
        <f>+G182+G180+G181+G179</f>
        <v>12445</v>
      </c>
      <c r="H178" s="4">
        <f>+H182+H180+H181+H179</f>
        <v>187389.77</v>
      </c>
      <c r="I178" s="4">
        <f t="shared" ref="I178:T178" si="211">+I182+I180+I181+I179</f>
        <v>5627.13</v>
      </c>
      <c r="J178" s="4">
        <f t="shared" si="211"/>
        <v>0</v>
      </c>
      <c r="K178" s="4">
        <f t="shared" si="211"/>
        <v>5000</v>
      </c>
      <c r="L178" s="4">
        <f t="shared" si="211"/>
        <v>10627.13</v>
      </c>
      <c r="M178" s="4">
        <f t="shared" si="211"/>
        <v>0</v>
      </c>
      <c r="N178" s="4">
        <f t="shared" si="211"/>
        <v>83.73</v>
      </c>
      <c r="O178" s="4">
        <f t="shared" si="211"/>
        <v>1945</v>
      </c>
      <c r="P178" s="4">
        <f t="shared" si="211"/>
        <v>2028.73</v>
      </c>
      <c r="Q178" s="4">
        <f t="shared" si="211"/>
        <v>12655.859999999999</v>
      </c>
      <c r="R178" s="4">
        <f t="shared" si="211"/>
        <v>72235.899999999994</v>
      </c>
      <c r="S178" s="4">
        <f t="shared" si="211"/>
        <v>0</v>
      </c>
      <c r="T178" s="4">
        <f t="shared" si="211"/>
        <v>96860.479999999996</v>
      </c>
      <c r="U178" s="4">
        <f t="shared" si="172"/>
        <v>169096.38</v>
      </c>
      <c r="V178" s="4">
        <f t="shared" si="173"/>
        <v>181752.24</v>
      </c>
      <c r="W178" s="4">
        <f t="shared" ref="W178:Y178" si="212">+W182+W180+W181+W179</f>
        <v>5000</v>
      </c>
      <c r="X178" s="67">
        <f t="shared" si="212"/>
        <v>1348.39</v>
      </c>
      <c r="Y178" s="4">
        <f t="shared" si="212"/>
        <v>11099.22</v>
      </c>
      <c r="Z178" s="4">
        <f t="shared" si="174"/>
        <v>199199.85</v>
      </c>
      <c r="AA178" s="5">
        <f t="shared" si="175"/>
        <v>96.991548684861499</v>
      </c>
      <c r="AB178" s="4">
        <f t="shared" si="164"/>
        <v>11810.080000000016</v>
      </c>
      <c r="AC178" s="4">
        <f t="shared" si="165"/>
        <v>106.3024144807905</v>
      </c>
    </row>
    <row r="179" spans="1:29" s="16" customFormat="1" ht="66" x14ac:dyDescent="0.25">
      <c r="A179" s="19" t="s">
        <v>245</v>
      </c>
      <c r="B179" s="7" t="s">
        <v>300</v>
      </c>
      <c r="C179" s="23" t="s">
        <v>398</v>
      </c>
      <c r="D179" s="4">
        <v>0</v>
      </c>
      <c r="E179" s="4">
        <v>0</v>
      </c>
      <c r="F179" s="4">
        <v>0</v>
      </c>
      <c r="G179" s="4">
        <v>1945</v>
      </c>
      <c r="H179" s="4">
        <v>1945</v>
      </c>
      <c r="I179" s="4"/>
      <c r="J179" s="4">
        <v>0</v>
      </c>
      <c r="K179" s="4">
        <v>0</v>
      </c>
      <c r="L179" s="4">
        <f>I179+J179+K179</f>
        <v>0</v>
      </c>
      <c r="M179" s="4">
        <v>0</v>
      </c>
      <c r="N179" s="4">
        <v>0</v>
      </c>
      <c r="O179" s="4">
        <v>1945</v>
      </c>
      <c r="P179" s="4">
        <f>M179+N179+O179</f>
        <v>1945</v>
      </c>
      <c r="Q179" s="4">
        <f t="shared" ref="Q179" si="213">L179+P179</f>
        <v>1945</v>
      </c>
      <c r="R179" s="4"/>
      <c r="S179" s="4"/>
      <c r="T179" s="4">
        <v>0</v>
      </c>
      <c r="U179" s="4">
        <f t="shared" si="172"/>
        <v>0</v>
      </c>
      <c r="V179" s="4">
        <f t="shared" si="173"/>
        <v>1945</v>
      </c>
      <c r="W179" s="4">
        <v>0</v>
      </c>
      <c r="X179" s="67">
        <v>0</v>
      </c>
      <c r="Y179" s="4">
        <v>0</v>
      </c>
      <c r="Z179" s="4">
        <f t="shared" si="174"/>
        <v>1945</v>
      </c>
      <c r="AA179" s="5">
        <f t="shared" si="175"/>
        <v>100</v>
      </c>
      <c r="AB179" s="4">
        <f t="shared" si="164"/>
        <v>0</v>
      </c>
      <c r="AC179" s="4">
        <f t="shared" si="165"/>
        <v>100</v>
      </c>
    </row>
    <row r="180" spans="1:29" s="16" customFormat="1" ht="69" customHeight="1" x14ac:dyDescent="0.25">
      <c r="A180" s="19" t="s">
        <v>245</v>
      </c>
      <c r="B180" s="7" t="s">
        <v>87</v>
      </c>
      <c r="C180" s="23" t="s">
        <v>398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 s="4">
        <v>627.13</v>
      </c>
      <c r="J180" s="4">
        <v>0</v>
      </c>
      <c r="K180" s="4">
        <v>0</v>
      </c>
      <c r="L180" s="4">
        <f>I180+J180+K180</f>
        <v>627.13</v>
      </c>
      <c r="M180" s="4">
        <v>0</v>
      </c>
      <c r="N180" s="4">
        <v>0</v>
      </c>
      <c r="O180" s="4">
        <v>0</v>
      </c>
      <c r="P180" s="4">
        <f>M180+N180+O180</f>
        <v>0</v>
      </c>
      <c r="Q180" s="4">
        <f t="shared" si="183"/>
        <v>627.13</v>
      </c>
      <c r="R180" s="4">
        <v>0</v>
      </c>
      <c r="S180" s="4">
        <v>0</v>
      </c>
      <c r="T180" s="4">
        <v>0</v>
      </c>
      <c r="U180" s="4">
        <f t="shared" si="172"/>
        <v>0</v>
      </c>
      <c r="V180" s="4">
        <f t="shared" si="173"/>
        <v>627.13</v>
      </c>
      <c r="W180" s="4">
        <v>0</v>
      </c>
      <c r="X180" s="67">
        <v>0</v>
      </c>
      <c r="Y180" s="4">
        <v>11099.22</v>
      </c>
      <c r="Z180" s="4">
        <f t="shared" si="174"/>
        <v>11726.349999999999</v>
      </c>
      <c r="AA180" s="5"/>
      <c r="AB180" s="4">
        <f t="shared" si="164"/>
        <v>11726.349999999999</v>
      </c>
      <c r="AC180" s="4">
        <v>0</v>
      </c>
    </row>
    <row r="181" spans="1:29" s="16" customFormat="1" ht="69" customHeight="1" x14ac:dyDescent="0.25">
      <c r="A181" s="19" t="s">
        <v>245</v>
      </c>
      <c r="B181" s="7" t="s">
        <v>239</v>
      </c>
      <c r="C181" s="23" t="s">
        <v>398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/>
      <c r="J181" s="4">
        <v>0</v>
      </c>
      <c r="K181" s="4">
        <v>0</v>
      </c>
      <c r="L181" s="4">
        <f>I181+J181+K181</f>
        <v>0</v>
      </c>
      <c r="M181" s="4">
        <v>0</v>
      </c>
      <c r="N181" s="4">
        <v>83.73</v>
      </c>
      <c r="O181" s="4">
        <v>0</v>
      </c>
      <c r="P181" s="4">
        <f>M181+N181+O181</f>
        <v>83.73</v>
      </c>
      <c r="Q181" s="4">
        <f t="shared" si="183"/>
        <v>83.73</v>
      </c>
      <c r="R181" s="4">
        <v>0</v>
      </c>
      <c r="S181" s="4">
        <v>0</v>
      </c>
      <c r="T181" s="4">
        <v>0</v>
      </c>
      <c r="U181" s="4">
        <f t="shared" si="172"/>
        <v>0</v>
      </c>
      <c r="V181" s="4">
        <f t="shared" si="173"/>
        <v>83.73</v>
      </c>
      <c r="W181" s="4">
        <v>0</v>
      </c>
      <c r="X181" s="67">
        <v>0</v>
      </c>
      <c r="Y181" s="4">
        <v>0</v>
      </c>
      <c r="Z181" s="4">
        <f t="shared" si="174"/>
        <v>83.73</v>
      </c>
      <c r="AA181" s="5"/>
      <c r="AB181" s="4">
        <f t="shared" si="164"/>
        <v>83.73</v>
      </c>
      <c r="AC181" s="4">
        <v>0</v>
      </c>
    </row>
    <row r="182" spans="1:29" s="16" customFormat="1" ht="66" x14ac:dyDescent="0.25">
      <c r="A182" s="19" t="s">
        <v>245</v>
      </c>
      <c r="B182" s="7" t="s">
        <v>92</v>
      </c>
      <c r="C182" s="24" t="s">
        <v>246</v>
      </c>
      <c r="D182" s="4">
        <v>500</v>
      </c>
      <c r="E182" s="4">
        <v>10500</v>
      </c>
      <c r="F182" s="4">
        <v>10500</v>
      </c>
      <c r="G182" s="4">
        <v>10500</v>
      </c>
      <c r="H182" s="4">
        <v>185444.77</v>
      </c>
      <c r="I182" s="4">
        <v>5000</v>
      </c>
      <c r="J182" s="4">
        <v>0</v>
      </c>
      <c r="K182" s="4">
        <v>5000</v>
      </c>
      <c r="L182" s="4">
        <f>I182+J182+K182</f>
        <v>10000</v>
      </c>
      <c r="M182" s="4">
        <v>0</v>
      </c>
      <c r="N182" s="4">
        <v>0</v>
      </c>
      <c r="O182" s="4">
        <v>0</v>
      </c>
      <c r="P182" s="4">
        <f>M182+N182+O182</f>
        <v>0</v>
      </c>
      <c r="Q182" s="4">
        <f t="shared" si="183"/>
        <v>10000</v>
      </c>
      <c r="R182" s="4">
        <v>72235.899999999994</v>
      </c>
      <c r="S182" s="4">
        <v>0</v>
      </c>
      <c r="T182" s="4">
        <v>96860.479999999996</v>
      </c>
      <c r="U182" s="4">
        <f t="shared" si="172"/>
        <v>169096.38</v>
      </c>
      <c r="V182" s="4">
        <f t="shared" si="173"/>
        <v>179096.38</v>
      </c>
      <c r="W182" s="4">
        <v>5000</v>
      </c>
      <c r="X182" s="67">
        <v>1348.39</v>
      </c>
      <c r="Y182" s="4">
        <v>0</v>
      </c>
      <c r="Z182" s="4">
        <f t="shared" si="174"/>
        <v>185444.77000000002</v>
      </c>
      <c r="AA182" s="5">
        <f t="shared" si="175"/>
        <v>96.576668082901449</v>
      </c>
      <c r="AB182" s="4">
        <f t="shared" si="164"/>
        <v>0</v>
      </c>
      <c r="AC182" s="4">
        <f t="shared" si="165"/>
        <v>100.00000000000003</v>
      </c>
    </row>
    <row r="183" spans="1:29" s="16" customFormat="1" ht="67.5" customHeight="1" x14ac:dyDescent="0.25">
      <c r="A183" s="19" t="s">
        <v>247</v>
      </c>
      <c r="B183" s="7" t="s">
        <v>5</v>
      </c>
      <c r="C183" s="3" t="s">
        <v>248</v>
      </c>
      <c r="D183" s="4">
        <f>+D185+D186+D188+D184</f>
        <v>5012660</v>
      </c>
      <c r="E183" s="4">
        <f>+E185+E186+E188+E184</f>
        <v>12219844</v>
      </c>
      <c r="F183" s="4">
        <f>+F185+F186+F188+F184</f>
        <v>12219844</v>
      </c>
      <c r="G183" s="4">
        <f t="shared" ref="G183:J183" si="214">+G185+G186+G188+G184+G187</f>
        <v>12224844</v>
      </c>
      <c r="H183" s="4">
        <f t="shared" si="214"/>
        <v>10924570.83</v>
      </c>
      <c r="I183" s="4">
        <f t="shared" si="214"/>
        <v>26852.350000000002</v>
      </c>
      <c r="J183" s="4">
        <f t="shared" si="214"/>
        <v>3613701.4</v>
      </c>
      <c r="K183" s="4">
        <f t="shared" ref="K183:R183" si="215">+K185+K186+K188+K184+K187</f>
        <v>2757037.56</v>
      </c>
      <c r="L183" s="4">
        <f t="shared" si="215"/>
        <v>6397591.3099999996</v>
      </c>
      <c r="M183" s="4">
        <f t="shared" si="215"/>
        <v>97844.83</v>
      </c>
      <c r="N183" s="4">
        <f t="shared" si="215"/>
        <v>248333</v>
      </c>
      <c r="O183" s="4">
        <f t="shared" si="215"/>
        <v>798000.83</v>
      </c>
      <c r="P183" s="4">
        <f t="shared" si="215"/>
        <v>1144178.6599999999</v>
      </c>
      <c r="Q183" s="4">
        <f t="shared" si="215"/>
        <v>7541769.9699999997</v>
      </c>
      <c r="R183" s="4">
        <f t="shared" si="215"/>
        <v>757584.03999999992</v>
      </c>
      <c r="S183" s="4">
        <f t="shared" ref="S183:Y183" si="216">+S185+S186+S188+S184+S187</f>
        <v>690540.78</v>
      </c>
      <c r="T183" s="4">
        <f t="shared" si="216"/>
        <v>556980.56999999995</v>
      </c>
      <c r="U183" s="4">
        <f t="shared" si="216"/>
        <v>2005105.3900000001</v>
      </c>
      <c r="V183" s="4">
        <f t="shared" si="216"/>
        <v>9546875.3599999994</v>
      </c>
      <c r="W183" s="4">
        <f t="shared" si="216"/>
        <v>187987.19999999998</v>
      </c>
      <c r="X183" s="4">
        <f t="shared" si="216"/>
        <v>583780.27</v>
      </c>
      <c r="Y183" s="4">
        <f t="shared" si="216"/>
        <v>85106.709999999992</v>
      </c>
      <c r="Z183" s="4">
        <f>L183+P183+U183+W183+X183+Y183</f>
        <v>10403749.539999999</v>
      </c>
      <c r="AA183" s="5">
        <f t="shared" si="175"/>
        <v>87.389019747881477</v>
      </c>
      <c r="AB183" s="4">
        <f t="shared" si="164"/>
        <v>-520821.29000000097</v>
      </c>
      <c r="AC183" s="4">
        <f t="shared" si="165"/>
        <v>95.232569790569968</v>
      </c>
    </row>
    <row r="184" spans="1:29" s="16" customFormat="1" ht="61.2" customHeight="1" x14ac:dyDescent="0.25">
      <c r="A184" s="19" t="s">
        <v>253</v>
      </c>
      <c r="B184" s="7" t="s">
        <v>87</v>
      </c>
      <c r="C184" s="3" t="s">
        <v>254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5000</v>
      </c>
      <c r="L184" s="4">
        <f>I184+J184+K184</f>
        <v>5000</v>
      </c>
      <c r="M184" s="4">
        <v>0</v>
      </c>
      <c r="N184" s="4">
        <v>0</v>
      </c>
      <c r="O184" s="4">
        <v>0</v>
      </c>
      <c r="P184" s="4">
        <f t="shared" ref="P184:P185" si="217">M184+N184+O184</f>
        <v>0</v>
      </c>
      <c r="Q184" s="4">
        <f t="shared" si="183"/>
        <v>5000</v>
      </c>
      <c r="R184" s="4">
        <v>0</v>
      </c>
      <c r="S184" s="4">
        <v>0</v>
      </c>
      <c r="T184" s="4">
        <v>0</v>
      </c>
      <c r="U184" s="4">
        <f t="shared" si="172"/>
        <v>0</v>
      </c>
      <c r="V184" s="4">
        <f>L184+P184+U184</f>
        <v>5000</v>
      </c>
      <c r="W184" s="4">
        <v>0</v>
      </c>
      <c r="X184" s="67">
        <v>0</v>
      </c>
      <c r="Y184" s="4">
        <v>5000</v>
      </c>
      <c r="Z184" s="4">
        <f>L184+P184+U184+W184+X184+Y184</f>
        <v>10000</v>
      </c>
      <c r="AA184" s="5"/>
      <c r="AB184" s="4">
        <f t="shared" si="164"/>
        <v>10000</v>
      </c>
      <c r="AC184" s="4">
        <v>0</v>
      </c>
    </row>
    <row r="185" spans="1:29" s="16" customFormat="1" ht="68.400000000000006" customHeight="1" x14ac:dyDescent="0.25">
      <c r="A185" s="19" t="s">
        <v>249</v>
      </c>
      <c r="B185" s="7" t="s">
        <v>87</v>
      </c>
      <c r="C185" s="3" t="s">
        <v>250</v>
      </c>
      <c r="D185" s="4">
        <v>339276</v>
      </c>
      <c r="E185" s="4">
        <v>339276</v>
      </c>
      <c r="F185" s="4">
        <v>339276</v>
      </c>
      <c r="G185" s="4">
        <v>339276</v>
      </c>
      <c r="H185" s="4">
        <v>339276</v>
      </c>
      <c r="I185" s="4">
        <v>985.15</v>
      </c>
      <c r="J185" s="4">
        <v>118776.92</v>
      </c>
      <c r="K185" s="4">
        <v>44909.64</v>
      </c>
      <c r="L185" s="4">
        <f>I185+J185+K185</f>
        <v>164671.71</v>
      </c>
      <c r="M185" s="4">
        <v>4401.26</v>
      </c>
      <c r="N185" s="4">
        <v>11890.31</v>
      </c>
      <c r="O185" s="4">
        <v>27323.13</v>
      </c>
      <c r="P185" s="4">
        <f t="shared" si="217"/>
        <v>43614.7</v>
      </c>
      <c r="Q185" s="4">
        <f t="shared" si="183"/>
        <v>208286.40999999997</v>
      </c>
      <c r="R185" s="4">
        <v>6073.57</v>
      </c>
      <c r="S185" s="4">
        <v>50806.54</v>
      </c>
      <c r="T185" s="4">
        <v>33410.28</v>
      </c>
      <c r="U185" s="4">
        <f t="shared" si="172"/>
        <v>90290.39</v>
      </c>
      <c r="V185" s="4">
        <f t="shared" si="173"/>
        <v>298576.8</v>
      </c>
      <c r="W185" s="4">
        <v>8872.8799999999992</v>
      </c>
      <c r="X185" s="67">
        <v>11559.03</v>
      </c>
      <c r="Y185" s="4">
        <v>5089.67</v>
      </c>
      <c r="Z185" s="4">
        <f>L185+P185+U185+W185+X185+Y185</f>
        <v>324098.38</v>
      </c>
      <c r="AA185" s="5">
        <f t="shared" si="175"/>
        <v>88.004102854313302</v>
      </c>
      <c r="AB185" s="4">
        <f t="shared" si="164"/>
        <v>-15177.619999999995</v>
      </c>
      <c r="AC185" s="4">
        <f t="shared" si="165"/>
        <v>95.526468126245305</v>
      </c>
    </row>
    <row r="186" spans="1:29" s="16" customFormat="1" ht="66" x14ac:dyDescent="0.25">
      <c r="A186" s="19" t="s">
        <v>251</v>
      </c>
      <c r="B186" s="7" t="s">
        <v>87</v>
      </c>
      <c r="C186" s="3" t="s">
        <v>252</v>
      </c>
      <c r="D186" s="4">
        <v>4663384</v>
      </c>
      <c r="E186" s="4">
        <v>11860568</v>
      </c>
      <c r="F186" s="4">
        <v>11860568</v>
      </c>
      <c r="G186" s="4">
        <v>11860568</v>
      </c>
      <c r="H186" s="4">
        <v>10489507</v>
      </c>
      <c r="I186" s="4">
        <v>25867.200000000001</v>
      </c>
      <c r="J186" s="4">
        <v>3489804.64</v>
      </c>
      <c r="K186" s="4">
        <v>2697127.92</v>
      </c>
      <c r="L186" s="4">
        <f>I186+J186+K186</f>
        <v>6212799.7599999998</v>
      </c>
      <c r="M186" s="4">
        <v>92443.57</v>
      </c>
      <c r="N186" s="4">
        <v>219989.57</v>
      </c>
      <c r="O186" s="4">
        <v>770677.7</v>
      </c>
      <c r="P186" s="4">
        <f>M186+N186+O186</f>
        <v>1083110.8399999999</v>
      </c>
      <c r="Q186" s="4">
        <f t="shared" si="183"/>
        <v>7295910.5999999996</v>
      </c>
      <c r="R186" s="4">
        <v>701228.65</v>
      </c>
      <c r="S186" s="4">
        <v>639734.24</v>
      </c>
      <c r="T186" s="4">
        <v>522071.29</v>
      </c>
      <c r="U186" s="4">
        <f t="shared" si="172"/>
        <v>1863034.1800000002</v>
      </c>
      <c r="V186" s="4">
        <f t="shared" si="173"/>
        <v>9158944.7799999993</v>
      </c>
      <c r="W186" s="4">
        <v>159181.26999999999</v>
      </c>
      <c r="X186" s="67">
        <v>571221.24</v>
      </c>
      <c r="Y186" s="4">
        <v>75017.039999999994</v>
      </c>
      <c r="Z186" s="4">
        <f t="shared" si="174"/>
        <v>9964364.3299999982</v>
      </c>
      <c r="AA186" s="5">
        <f t="shared" si="175"/>
        <v>87.315302616224002</v>
      </c>
      <c r="AB186" s="4">
        <f t="shared" si="164"/>
        <v>-525142.67000000179</v>
      </c>
      <c r="AC186" s="4">
        <f t="shared" si="165"/>
        <v>94.993638213883628</v>
      </c>
    </row>
    <row r="187" spans="1:29" s="16" customFormat="1" ht="56.4" customHeight="1" x14ac:dyDescent="0.25">
      <c r="A187" s="19" t="s">
        <v>253</v>
      </c>
      <c r="B187" s="7" t="s">
        <v>239</v>
      </c>
      <c r="C187" s="3" t="s">
        <v>254</v>
      </c>
      <c r="D187" s="4"/>
      <c r="E187" s="4"/>
      <c r="F187" s="4"/>
      <c r="G187" s="4"/>
      <c r="H187" s="4">
        <v>0</v>
      </c>
      <c r="I187" s="4">
        <v>0</v>
      </c>
      <c r="J187" s="4"/>
      <c r="K187" s="4"/>
      <c r="L187" s="4">
        <f>I187+J187+K187</f>
        <v>0</v>
      </c>
      <c r="M187" s="4"/>
      <c r="N187" s="4">
        <v>8000</v>
      </c>
      <c r="O187" s="4">
        <v>0</v>
      </c>
      <c r="P187" s="4">
        <f>M187+N187+O187</f>
        <v>8000</v>
      </c>
      <c r="Q187" s="4">
        <f t="shared" si="183"/>
        <v>8000</v>
      </c>
      <c r="R187" s="4">
        <v>0</v>
      </c>
      <c r="S187" s="4">
        <v>0</v>
      </c>
      <c r="T187" s="4">
        <v>1499</v>
      </c>
      <c r="U187" s="4">
        <f t="shared" si="172"/>
        <v>1499</v>
      </c>
      <c r="V187" s="4">
        <f t="shared" si="173"/>
        <v>9499</v>
      </c>
      <c r="W187" s="4">
        <v>0</v>
      </c>
      <c r="X187" s="67">
        <v>0</v>
      </c>
      <c r="Y187" s="4">
        <v>0</v>
      </c>
      <c r="Z187" s="4">
        <f t="shared" si="174"/>
        <v>9499</v>
      </c>
      <c r="AA187" s="5"/>
      <c r="AB187" s="4">
        <f t="shared" si="164"/>
        <v>9499</v>
      </c>
      <c r="AC187" s="4">
        <v>0</v>
      </c>
    </row>
    <row r="188" spans="1:29" s="16" customFormat="1" ht="54" customHeight="1" x14ac:dyDescent="0.25">
      <c r="A188" s="19" t="s">
        <v>253</v>
      </c>
      <c r="B188" s="7" t="s">
        <v>92</v>
      </c>
      <c r="C188" s="3" t="s">
        <v>254</v>
      </c>
      <c r="D188" s="4">
        <v>10000</v>
      </c>
      <c r="E188" s="4">
        <v>20000</v>
      </c>
      <c r="F188" s="4">
        <v>20000</v>
      </c>
      <c r="G188" s="4">
        <f>20000+5000</f>
        <v>25000</v>
      </c>
      <c r="H188" s="4">
        <v>95787.83</v>
      </c>
      <c r="I188" s="4">
        <v>0</v>
      </c>
      <c r="J188" s="4">
        <v>5119.84</v>
      </c>
      <c r="K188" s="4">
        <v>10000</v>
      </c>
      <c r="L188" s="4">
        <f>I188+J188+K188</f>
        <v>15119.84</v>
      </c>
      <c r="M188" s="4">
        <v>1000</v>
      </c>
      <c r="N188" s="4">
        <v>8453.1200000000008</v>
      </c>
      <c r="O188" s="4">
        <v>0</v>
      </c>
      <c r="P188" s="4">
        <f>M188+N188+O188</f>
        <v>9453.1200000000008</v>
      </c>
      <c r="Q188" s="4">
        <f t="shared" si="183"/>
        <v>24572.959999999999</v>
      </c>
      <c r="R188" s="4">
        <v>50281.82</v>
      </c>
      <c r="S188" s="4">
        <v>0</v>
      </c>
      <c r="T188" s="4">
        <v>0</v>
      </c>
      <c r="U188" s="4">
        <f t="shared" si="172"/>
        <v>50281.82</v>
      </c>
      <c r="V188" s="4">
        <f t="shared" si="173"/>
        <v>74854.78</v>
      </c>
      <c r="W188" s="4">
        <v>19933.05</v>
      </c>
      <c r="X188" s="67">
        <v>1000</v>
      </c>
      <c r="Y188" s="4">
        <v>0</v>
      </c>
      <c r="Z188" s="4">
        <f t="shared" si="174"/>
        <v>95787.83</v>
      </c>
      <c r="AA188" s="5">
        <f t="shared" si="175"/>
        <v>78.146440941401423</v>
      </c>
      <c r="AB188" s="4">
        <f t="shared" si="164"/>
        <v>0</v>
      </c>
      <c r="AC188" s="4">
        <f t="shared" si="165"/>
        <v>100</v>
      </c>
    </row>
    <row r="189" spans="1:29" s="16" customFormat="1" ht="18.600000000000001" customHeight="1" x14ac:dyDescent="0.25">
      <c r="A189" s="8" t="s">
        <v>255</v>
      </c>
      <c r="B189" s="7" t="s">
        <v>5</v>
      </c>
      <c r="C189" s="9" t="s">
        <v>256</v>
      </c>
      <c r="D189" s="4">
        <f t="shared" ref="D189:G189" si="218">D190+D195+D197</f>
        <v>1657000</v>
      </c>
      <c r="E189" s="4">
        <f t="shared" si="218"/>
        <v>1691700</v>
      </c>
      <c r="F189" s="4">
        <f t="shared" si="218"/>
        <v>1691700</v>
      </c>
      <c r="G189" s="4">
        <f t="shared" si="218"/>
        <v>1691700</v>
      </c>
      <c r="H189" s="4">
        <f>H190+H195+H197+H193</f>
        <v>724546.12</v>
      </c>
      <c r="I189" s="4">
        <f t="shared" ref="I189:T189" si="219">I190+I195+I197+I193</f>
        <v>34575.56</v>
      </c>
      <c r="J189" s="4">
        <f t="shared" si="219"/>
        <v>187469.21999999997</v>
      </c>
      <c r="K189" s="4">
        <f t="shared" si="219"/>
        <v>-13206.309999999998</v>
      </c>
      <c r="L189" s="4">
        <f t="shared" si="219"/>
        <v>208838.46999999997</v>
      </c>
      <c r="M189" s="4">
        <f t="shared" si="219"/>
        <v>13792.25</v>
      </c>
      <c r="N189" s="4">
        <f t="shared" si="219"/>
        <v>170204.24</v>
      </c>
      <c r="O189" s="4">
        <f t="shared" si="219"/>
        <v>81785.42</v>
      </c>
      <c r="P189" s="4">
        <f t="shared" si="219"/>
        <v>265781.90999999997</v>
      </c>
      <c r="Q189" s="4">
        <f t="shared" si="219"/>
        <v>474620.37999999995</v>
      </c>
      <c r="R189" s="4">
        <f t="shared" si="219"/>
        <v>16600.830000000002</v>
      </c>
      <c r="S189" s="4">
        <f t="shared" si="219"/>
        <v>28384.370000000003</v>
      </c>
      <c r="T189" s="4">
        <f t="shared" si="219"/>
        <v>15132.669999999998</v>
      </c>
      <c r="U189" s="4">
        <f t="shared" si="172"/>
        <v>60117.87</v>
      </c>
      <c r="V189" s="4">
        <f t="shared" si="173"/>
        <v>534738.25</v>
      </c>
      <c r="W189" s="4">
        <f t="shared" ref="W189:Y189" si="220">W190+W195+W197+W193</f>
        <v>16145.000000000002</v>
      </c>
      <c r="X189" s="67">
        <f t="shared" si="220"/>
        <v>7311.02</v>
      </c>
      <c r="Y189" s="4">
        <f t="shared" si="220"/>
        <v>14657.630000000001</v>
      </c>
      <c r="Z189" s="4">
        <f t="shared" si="174"/>
        <v>572851.9</v>
      </c>
      <c r="AA189" s="5">
        <f t="shared" si="175"/>
        <v>73.803203859541753</v>
      </c>
      <c r="AB189" s="4">
        <f t="shared" si="164"/>
        <v>-151694.21999999997</v>
      </c>
      <c r="AC189" s="4">
        <f t="shared" si="165"/>
        <v>79.06355222770361</v>
      </c>
    </row>
    <row r="190" spans="1:29" s="16" customFormat="1" ht="71.400000000000006" customHeight="1" x14ac:dyDescent="0.25">
      <c r="A190" s="8" t="s">
        <v>475</v>
      </c>
      <c r="B190" s="7" t="s">
        <v>5</v>
      </c>
      <c r="C190" s="9" t="s">
        <v>476</v>
      </c>
      <c r="D190" s="4">
        <f t="shared" ref="D190:G190" si="221">D191</f>
        <v>0</v>
      </c>
      <c r="E190" s="4">
        <f t="shared" si="221"/>
        <v>66000</v>
      </c>
      <c r="F190" s="4">
        <f t="shared" si="221"/>
        <v>66000</v>
      </c>
      <c r="G190" s="4">
        <f t="shared" si="221"/>
        <v>66000</v>
      </c>
      <c r="H190" s="4">
        <f>H191+H192</f>
        <v>71600</v>
      </c>
      <c r="I190" s="4">
        <f t="shared" ref="I190:Z190" si="222">I191+I192</f>
        <v>0</v>
      </c>
      <c r="J190" s="4">
        <f t="shared" si="222"/>
        <v>35341.25</v>
      </c>
      <c r="K190" s="4">
        <f t="shared" si="222"/>
        <v>30362.75</v>
      </c>
      <c r="L190" s="4">
        <f t="shared" si="222"/>
        <v>65704</v>
      </c>
      <c r="M190" s="4">
        <f t="shared" si="222"/>
        <v>0</v>
      </c>
      <c r="N190" s="4">
        <f t="shared" si="222"/>
        <v>0</v>
      </c>
      <c r="O190" s="4">
        <f t="shared" si="222"/>
        <v>0</v>
      </c>
      <c r="P190" s="4">
        <f t="shared" si="222"/>
        <v>0</v>
      </c>
      <c r="Q190" s="4">
        <f t="shared" si="222"/>
        <v>65704</v>
      </c>
      <c r="R190" s="4">
        <f t="shared" si="222"/>
        <v>0</v>
      </c>
      <c r="S190" s="4">
        <f t="shared" si="222"/>
        <v>0</v>
      </c>
      <c r="T190" s="4">
        <f t="shared" si="222"/>
        <v>0</v>
      </c>
      <c r="U190" s="4">
        <f t="shared" si="222"/>
        <v>0</v>
      </c>
      <c r="V190" s="4">
        <f t="shared" si="222"/>
        <v>65704</v>
      </c>
      <c r="W190" s="4">
        <f t="shared" si="222"/>
        <v>0</v>
      </c>
      <c r="X190" s="4">
        <f t="shared" si="222"/>
        <v>5600</v>
      </c>
      <c r="Y190" s="4">
        <f t="shared" si="222"/>
        <v>0</v>
      </c>
      <c r="Z190" s="4">
        <f t="shared" si="222"/>
        <v>71304</v>
      </c>
      <c r="AA190" s="5">
        <f t="shared" si="175"/>
        <v>91.765363128491614</v>
      </c>
      <c r="AB190" s="4">
        <f t="shared" si="164"/>
        <v>-296</v>
      </c>
      <c r="AC190" s="4">
        <f t="shared" si="165"/>
        <v>99.586592178770957</v>
      </c>
    </row>
    <row r="191" spans="1:29" s="16" customFormat="1" ht="42" customHeight="1" x14ac:dyDescent="0.25">
      <c r="A191" s="8" t="s">
        <v>439</v>
      </c>
      <c r="B191" s="7" t="s">
        <v>92</v>
      </c>
      <c r="C191" s="9" t="s">
        <v>403</v>
      </c>
      <c r="D191" s="4">
        <v>0</v>
      </c>
      <c r="E191" s="4">
        <v>66000</v>
      </c>
      <c r="F191" s="4">
        <v>66000</v>
      </c>
      <c r="G191" s="4">
        <v>66000</v>
      </c>
      <c r="H191" s="4">
        <v>66000</v>
      </c>
      <c r="I191" s="4">
        <v>0</v>
      </c>
      <c r="J191" s="4">
        <v>35341.25</v>
      </c>
      <c r="K191" s="4">
        <v>30362.75</v>
      </c>
      <c r="L191" s="4">
        <f>I191+J191+K191</f>
        <v>65704</v>
      </c>
      <c r="M191" s="4">
        <v>0</v>
      </c>
      <c r="N191" s="4">
        <v>0</v>
      </c>
      <c r="O191" s="4">
        <v>0</v>
      </c>
      <c r="P191" s="4">
        <f>M191+N191+O191</f>
        <v>0</v>
      </c>
      <c r="Q191" s="4">
        <f t="shared" si="183"/>
        <v>65704</v>
      </c>
      <c r="R191" s="4">
        <v>0</v>
      </c>
      <c r="S191" s="4">
        <v>0</v>
      </c>
      <c r="T191" s="4">
        <v>0</v>
      </c>
      <c r="U191" s="4">
        <f t="shared" si="172"/>
        <v>0</v>
      </c>
      <c r="V191" s="4">
        <f t="shared" si="173"/>
        <v>65704</v>
      </c>
      <c r="W191" s="4">
        <v>0</v>
      </c>
      <c r="X191" s="67">
        <v>0</v>
      </c>
      <c r="Y191" s="4">
        <v>0</v>
      </c>
      <c r="Z191" s="4">
        <f t="shared" si="174"/>
        <v>65704</v>
      </c>
      <c r="AA191" s="5">
        <f t="shared" si="175"/>
        <v>99.551515151515147</v>
      </c>
      <c r="AB191" s="4">
        <f t="shared" si="164"/>
        <v>-296</v>
      </c>
      <c r="AC191" s="4">
        <f t="shared" si="165"/>
        <v>99.551515151515147</v>
      </c>
    </row>
    <row r="192" spans="1:29" s="16" customFormat="1" ht="56.25" customHeight="1" x14ac:dyDescent="0.25">
      <c r="A192" s="8" t="s">
        <v>590</v>
      </c>
      <c r="B192" s="7" t="s">
        <v>92</v>
      </c>
      <c r="C192" s="9" t="s">
        <v>591</v>
      </c>
      <c r="D192" s="4"/>
      <c r="E192" s="4"/>
      <c r="F192" s="4"/>
      <c r="G192" s="4"/>
      <c r="H192" s="4">
        <v>5600</v>
      </c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>
        <v>0</v>
      </c>
      <c r="U192" s="4"/>
      <c r="V192" s="4"/>
      <c r="W192" s="4">
        <v>0</v>
      </c>
      <c r="X192" s="67">
        <v>5600</v>
      </c>
      <c r="Y192" s="4">
        <v>0</v>
      </c>
      <c r="Z192" s="4">
        <f t="shared" si="174"/>
        <v>5600</v>
      </c>
      <c r="AA192" s="5"/>
      <c r="AB192" s="4">
        <f t="shared" si="164"/>
        <v>0</v>
      </c>
      <c r="AC192" s="4">
        <f t="shared" si="165"/>
        <v>100</v>
      </c>
    </row>
    <row r="193" spans="1:29" s="16" customFormat="1" ht="30" customHeight="1" x14ac:dyDescent="0.25">
      <c r="A193" s="8" t="s">
        <v>534</v>
      </c>
      <c r="B193" s="7" t="s">
        <v>5</v>
      </c>
      <c r="C193" s="9" t="s">
        <v>567</v>
      </c>
      <c r="D193" s="4"/>
      <c r="E193" s="4"/>
      <c r="F193" s="4"/>
      <c r="G193" s="4"/>
      <c r="H193" s="4">
        <f>H194</f>
        <v>0</v>
      </c>
      <c r="I193" s="4">
        <f t="shared" ref="I193:Y193" si="223">I194</f>
        <v>0</v>
      </c>
      <c r="J193" s="4">
        <f t="shared" si="223"/>
        <v>0</v>
      </c>
      <c r="K193" s="4">
        <f t="shared" si="223"/>
        <v>0</v>
      </c>
      <c r="L193" s="4">
        <f t="shared" si="223"/>
        <v>0</v>
      </c>
      <c r="M193" s="4">
        <f t="shared" si="223"/>
        <v>0</v>
      </c>
      <c r="N193" s="4">
        <f t="shared" si="223"/>
        <v>0</v>
      </c>
      <c r="O193" s="4">
        <f t="shared" si="223"/>
        <v>0</v>
      </c>
      <c r="P193" s="4">
        <f t="shared" si="223"/>
        <v>0</v>
      </c>
      <c r="Q193" s="4">
        <f t="shared" si="223"/>
        <v>0</v>
      </c>
      <c r="R193" s="4">
        <f t="shared" si="223"/>
        <v>2214</v>
      </c>
      <c r="S193" s="4">
        <f t="shared" si="223"/>
        <v>0</v>
      </c>
      <c r="T193" s="4">
        <f t="shared" si="223"/>
        <v>0</v>
      </c>
      <c r="U193" s="4">
        <f t="shared" si="172"/>
        <v>2214</v>
      </c>
      <c r="V193" s="4">
        <f t="shared" si="173"/>
        <v>2214</v>
      </c>
      <c r="W193" s="4">
        <f t="shared" si="223"/>
        <v>0</v>
      </c>
      <c r="X193" s="67">
        <f t="shared" si="223"/>
        <v>0</v>
      </c>
      <c r="Y193" s="4">
        <f t="shared" si="223"/>
        <v>0</v>
      </c>
      <c r="Z193" s="4">
        <f t="shared" si="174"/>
        <v>2214</v>
      </c>
      <c r="AA193" s="5"/>
      <c r="AB193" s="4">
        <f t="shared" si="164"/>
        <v>2214</v>
      </c>
      <c r="AC193" s="4">
        <v>0</v>
      </c>
    </row>
    <row r="194" spans="1:29" s="16" customFormat="1" ht="122.4" customHeight="1" x14ac:dyDescent="0.25">
      <c r="A194" s="8" t="s">
        <v>535</v>
      </c>
      <c r="B194" s="7" t="s">
        <v>87</v>
      </c>
      <c r="C194" s="9" t="s">
        <v>536</v>
      </c>
      <c r="D194" s="4"/>
      <c r="E194" s="4"/>
      <c r="F194" s="4"/>
      <c r="G194" s="4"/>
      <c r="H194" s="4">
        <v>0</v>
      </c>
      <c r="I194" s="4"/>
      <c r="J194" s="4"/>
      <c r="K194" s="4"/>
      <c r="L194" s="4"/>
      <c r="M194" s="4"/>
      <c r="N194" s="4"/>
      <c r="O194" s="4"/>
      <c r="P194" s="4"/>
      <c r="Q194" s="4"/>
      <c r="R194" s="4">
        <v>2214</v>
      </c>
      <c r="S194" s="4"/>
      <c r="T194" s="4">
        <v>0</v>
      </c>
      <c r="U194" s="4">
        <f t="shared" si="172"/>
        <v>2214</v>
      </c>
      <c r="V194" s="4">
        <f t="shared" si="173"/>
        <v>2214</v>
      </c>
      <c r="W194" s="4">
        <v>0</v>
      </c>
      <c r="X194" s="67">
        <v>0</v>
      </c>
      <c r="Y194" s="4">
        <v>0</v>
      </c>
      <c r="Z194" s="4">
        <f t="shared" si="174"/>
        <v>2214</v>
      </c>
      <c r="AA194" s="5"/>
      <c r="AB194" s="4">
        <f t="shared" si="164"/>
        <v>2214</v>
      </c>
      <c r="AC194" s="4">
        <v>0</v>
      </c>
    </row>
    <row r="195" spans="1:29" s="16" customFormat="1" ht="39.6" x14ac:dyDescent="0.25">
      <c r="A195" s="8" t="s">
        <v>477</v>
      </c>
      <c r="B195" s="7" t="s">
        <v>5</v>
      </c>
      <c r="C195" s="9" t="s">
        <v>479</v>
      </c>
      <c r="D195" s="4">
        <f t="shared" ref="D195:T195" si="224">D196</f>
        <v>0</v>
      </c>
      <c r="E195" s="4">
        <f t="shared" si="224"/>
        <v>6700</v>
      </c>
      <c r="F195" s="4">
        <f t="shared" si="224"/>
        <v>6700</v>
      </c>
      <c r="G195" s="4">
        <f t="shared" si="224"/>
        <v>6700</v>
      </c>
      <c r="H195" s="4">
        <f t="shared" si="224"/>
        <v>6700</v>
      </c>
      <c r="I195" s="4">
        <f t="shared" si="224"/>
        <v>0</v>
      </c>
      <c r="J195" s="4">
        <f t="shared" si="224"/>
        <v>0</v>
      </c>
      <c r="K195" s="4">
        <f t="shared" si="224"/>
        <v>6700</v>
      </c>
      <c r="L195" s="4">
        <f t="shared" si="224"/>
        <v>6700</v>
      </c>
      <c r="M195" s="4">
        <f t="shared" si="224"/>
        <v>0</v>
      </c>
      <c r="N195" s="4">
        <f t="shared" si="224"/>
        <v>0</v>
      </c>
      <c r="O195" s="4">
        <f t="shared" si="224"/>
        <v>0</v>
      </c>
      <c r="P195" s="4">
        <f t="shared" si="224"/>
        <v>0</v>
      </c>
      <c r="Q195" s="4">
        <f t="shared" si="183"/>
        <v>6700</v>
      </c>
      <c r="R195" s="4">
        <f t="shared" si="224"/>
        <v>0</v>
      </c>
      <c r="S195" s="4">
        <f t="shared" si="224"/>
        <v>0</v>
      </c>
      <c r="T195" s="4">
        <f t="shared" si="224"/>
        <v>0</v>
      </c>
      <c r="U195" s="4">
        <f t="shared" si="172"/>
        <v>0</v>
      </c>
      <c r="V195" s="4">
        <f t="shared" si="173"/>
        <v>6700</v>
      </c>
      <c r="W195" s="4">
        <f t="shared" ref="W195:Y195" si="225">W196</f>
        <v>0</v>
      </c>
      <c r="X195" s="67">
        <f t="shared" si="225"/>
        <v>0</v>
      </c>
      <c r="Y195" s="4">
        <f t="shared" si="225"/>
        <v>0</v>
      </c>
      <c r="Z195" s="4">
        <f t="shared" si="174"/>
        <v>6700</v>
      </c>
      <c r="AA195" s="5">
        <f t="shared" si="175"/>
        <v>100</v>
      </c>
      <c r="AB195" s="4">
        <f t="shared" si="164"/>
        <v>0</v>
      </c>
      <c r="AC195" s="4">
        <f t="shared" si="165"/>
        <v>100</v>
      </c>
    </row>
    <row r="196" spans="1:29" s="16" customFormat="1" ht="52.8" x14ac:dyDescent="0.25">
      <c r="A196" s="8" t="s">
        <v>478</v>
      </c>
      <c r="B196" s="7" t="s">
        <v>300</v>
      </c>
      <c r="C196" s="9" t="s">
        <v>466</v>
      </c>
      <c r="D196" s="4">
        <v>0</v>
      </c>
      <c r="E196" s="4">
        <v>6700</v>
      </c>
      <c r="F196" s="4">
        <v>6700</v>
      </c>
      <c r="G196" s="4">
        <v>6700</v>
      </c>
      <c r="H196" s="4">
        <v>6700</v>
      </c>
      <c r="I196" s="4">
        <v>0</v>
      </c>
      <c r="J196" s="4"/>
      <c r="K196" s="4">
        <v>6700</v>
      </c>
      <c r="L196" s="4">
        <f>I196+J196+K196</f>
        <v>6700</v>
      </c>
      <c r="M196" s="4">
        <v>0</v>
      </c>
      <c r="N196" s="4">
        <v>0</v>
      </c>
      <c r="O196" s="4">
        <v>0</v>
      </c>
      <c r="P196" s="4">
        <f>M196+N196+O196</f>
        <v>0</v>
      </c>
      <c r="Q196" s="4">
        <f t="shared" si="183"/>
        <v>6700</v>
      </c>
      <c r="R196" s="4">
        <v>0</v>
      </c>
      <c r="S196" s="4">
        <v>0</v>
      </c>
      <c r="T196" s="4">
        <v>0</v>
      </c>
      <c r="U196" s="4">
        <f t="shared" si="172"/>
        <v>0</v>
      </c>
      <c r="V196" s="4">
        <f t="shared" si="173"/>
        <v>6700</v>
      </c>
      <c r="W196" s="4">
        <v>0</v>
      </c>
      <c r="X196" s="67">
        <v>0</v>
      </c>
      <c r="Y196" s="4">
        <v>0</v>
      </c>
      <c r="Z196" s="4">
        <f t="shared" si="174"/>
        <v>6700</v>
      </c>
      <c r="AA196" s="5">
        <f t="shared" si="175"/>
        <v>100</v>
      </c>
      <c r="AB196" s="4">
        <f t="shared" si="164"/>
        <v>0</v>
      </c>
      <c r="AC196" s="4">
        <f t="shared" si="165"/>
        <v>100</v>
      </c>
    </row>
    <row r="197" spans="1:29" s="16" customFormat="1" ht="66" x14ac:dyDescent="0.25">
      <c r="A197" s="19" t="s">
        <v>257</v>
      </c>
      <c r="B197" s="7" t="s">
        <v>5</v>
      </c>
      <c r="C197" s="3" t="s">
        <v>258</v>
      </c>
      <c r="D197" s="4">
        <f t="shared" ref="D197:I197" si="226">+D198+D207</f>
        <v>1657000</v>
      </c>
      <c r="E197" s="4">
        <f t="shared" si="226"/>
        <v>1619000</v>
      </c>
      <c r="F197" s="4">
        <f t="shared" si="226"/>
        <v>1619000</v>
      </c>
      <c r="G197" s="4">
        <f t="shared" si="226"/>
        <v>1619000</v>
      </c>
      <c r="H197" s="4">
        <f t="shared" si="226"/>
        <v>646246.12</v>
      </c>
      <c r="I197" s="4">
        <f t="shared" si="226"/>
        <v>34575.56</v>
      </c>
      <c r="J197" s="4">
        <f t="shared" ref="J197:P197" si="227">+J198+J208</f>
        <v>152127.96999999997</v>
      </c>
      <c r="K197" s="4">
        <f t="shared" si="227"/>
        <v>-50269.06</v>
      </c>
      <c r="L197" s="4">
        <f t="shared" si="227"/>
        <v>136434.46999999997</v>
      </c>
      <c r="M197" s="4">
        <f t="shared" si="227"/>
        <v>13792.25</v>
      </c>
      <c r="N197" s="4">
        <f t="shared" si="227"/>
        <v>170204.24</v>
      </c>
      <c r="O197" s="4">
        <f t="shared" si="227"/>
        <v>81785.42</v>
      </c>
      <c r="P197" s="4">
        <f t="shared" si="227"/>
        <v>265781.90999999997</v>
      </c>
      <c r="Q197" s="4">
        <f>L197+P197</f>
        <v>402216.37999999995</v>
      </c>
      <c r="R197" s="4">
        <f>+R198+R208</f>
        <v>14386.83</v>
      </c>
      <c r="S197" s="4">
        <f>+S198+S208</f>
        <v>28384.370000000003</v>
      </c>
      <c r="T197" s="4">
        <f>+T198+T208</f>
        <v>15132.669999999998</v>
      </c>
      <c r="U197" s="4">
        <f t="shared" si="172"/>
        <v>57903.87</v>
      </c>
      <c r="V197" s="4">
        <f t="shared" si="173"/>
        <v>460120.24999999994</v>
      </c>
      <c r="W197" s="4">
        <f>+W198+W208</f>
        <v>16145.000000000002</v>
      </c>
      <c r="X197" s="67">
        <f>+X198+X208</f>
        <v>1711.02</v>
      </c>
      <c r="Y197" s="4">
        <f>+Y198+Y208</f>
        <v>14657.630000000001</v>
      </c>
      <c r="Z197" s="4">
        <f t="shared" si="174"/>
        <v>492633.89999999997</v>
      </c>
      <c r="AA197" s="5">
        <f t="shared" si="175"/>
        <v>71.198918764881697</v>
      </c>
      <c r="AB197" s="4">
        <f t="shared" si="164"/>
        <v>-153612.22000000003</v>
      </c>
      <c r="AC197" s="4">
        <f t="shared" si="165"/>
        <v>76.230074696618672</v>
      </c>
    </row>
    <row r="198" spans="1:29" s="16" customFormat="1" ht="52.8" x14ac:dyDescent="0.25">
      <c r="A198" s="19" t="s">
        <v>378</v>
      </c>
      <c r="B198" s="7" t="s">
        <v>5</v>
      </c>
      <c r="C198" s="3" t="s">
        <v>260</v>
      </c>
      <c r="D198" s="4">
        <f>+D200+D202+D205++D199+D203+D204</f>
        <v>1637000</v>
      </c>
      <c r="E198" s="4">
        <f>+E200+E202+E205++E199+E203+E204</f>
        <v>1599000</v>
      </c>
      <c r="F198" s="4">
        <f>+F200+F202+F205++F199+F203+F204</f>
        <v>1599000</v>
      </c>
      <c r="G198" s="4">
        <f>+G200+G202+G205++G199+G203+G204+G206</f>
        <v>1599000</v>
      </c>
      <c r="H198" s="4">
        <f t="shared" ref="H198:T198" si="228">+H200+H202+H205++H199+H203+H204+H206+H201</f>
        <v>619246.12</v>
      </c>
      <c r="I198" s="4">
        <f t="shared" si="228"/>
        <v>33324.18</v>
      </c>
      <c r="J198" s="4">
        <f t="shared" si="228"/>
        <v>91479.659999999989</v>
      </c>
      <c r="K198" s="4">
        <f t="shared" si="228"/>
        <v>-4873.4600000000009</v>
      </c>
      <c r="L198" s="4">
        <f t="shared" si="228"/>
        <v>119930.37999999999</v>
      </c>
      <c r="M198" s="4">
        <f t="shared" si="228"/>
        <v>14614.7</v>
      </c>
      <c r="N198" s="4">
        <f t="shared" si="228"/>
        <v>167329.59</v>
      </c>
      <c r="O198" s="4">
        <f t="shared" si="228"/>
        <v>80314.63</v>
      </c>
      <c r="P198" s="4">
        <f t="shared" si="228"/>
        <v>262258.92</v>
      </c>
      <c r="Q198" s="4">
        <f t="shared" si="228"/>
        <v>382189.3</v>
      </c>
      <c r="R198" s="4">
        <f t="shared" si="228"/>
        <v>13781.93</v>
      </c>
      <c r="S198" s="4">
        <f t="shared" si="228"/>
        <v>18492.2</v>
      </c>
      <c r="T198" s="4">
        <f t="shared" si="228"/>
        <v>14869.689999999999</v>
      </c>
      <c r="U198" s="4">
        <f t="shared" si="172"/>
        <v>47143.82</v>
      </c>
      <c r="V198" s="4">
        <f t="shared" si="173"/>
        <v>429333.12</v>
      </c>
      <c r="W198" s="4">
        <f t="shared" ref="W198:Y198" si="229">+W200+W202+W205++W199+W203+W204+W206+W201</f>
        <v>19920.22</v>
      </c>
      <c r="X198" s="67">
        <f t="shared" si="229"/>
        <v>1300.8599999999999</v>
      </c>
      <c r="Y198" s="4">
        <f t="shared" si="229"/>
        <v>9423.86</v>
      </c>
      <c r="Z198" s="4">
        <f t="shared" si="174"/>
        <v>459978.05999999994</v>
      </c>
      <c r="AA198" s="5">
        <f t="shared" si="175"/>
        <v>69.331580147809404</v>
      </c>
      <c r="AB198" s="4">
        <f t="shared" si="164"/>
        <v>-159268.06000000006</v>
      </c>
      <c r="AC198" s="4">
        <f t="shared" si="165"/>
        <v>74.280329766135623</v>
      </c>
    </row>
    <row r="199" spans="1:29" s="16" customFormat="1" ht="105.6" x14ac:dyDescent="0.25">
      <c r="A199" s="19" t="s">
        <v>259</v>
      </c>
      <c r="B199" s="7" t="s">
        <v>261</v>
      </c>
      <c r="C199" s="3" t="s">
        <v>262</v>
      </c>
      <c r="D199" s="4">
        <v>2000</v>
      </c>
      <c r="E199" s="4">
        <v>2000</v>
      </c>
      <c r="F199" s="4">
        <v>2000</v>
      </c>
      <c r="G199" s="4">
        <v>2000</v>
      </c>
      <c r="H199" s="4">
        <v>3000</v>
      </c>
      <c r="I199" s="4">
        <v>0</v>
      </c>
      <c r="J199" s="4">
        <v>0</v>
      </c>
      <c r="K199" s="4">
        <v>0</v>
      </c>
      <c r="L199" s="4">
        <v>0</v>
      </c>
      <c r="M199" s="4">
        <v>3000</v>
      </c>
      <c r="N199" s="4">
        <v>0</v>
      </c>
      <c r="O199" s="4">
        <v>0</v>
      </c>
      <c r="P199" s="4">
        <f t="shared" ref="P199:P206" si="230">M199+N199+O199</f>
        <v>3000</v>
      </c>
      <c r="Q199" s="4">
        <f>L199+P199</f>
        <v>3000</v>
      </c>
      <c r="R199" s="4">
        <v>0</v>
      </c>
      <c r="S199" s="4">
        <v>0</v>
      </c>
      <c r="T199" s="4">
        <v>0</v>
      </c>
      <c r="U199" s="4">
        <f t="shared" si="172"/>
        <v>0</v>
      </c>
      <c r="V199" s="4">
        <f t="shared" si="173"/>
        <v>3000</v>
      </c>
      <c r="W199" s="4">
        <v>0</v>
      </c>
      <c r="X199" s="67">
        <v>0</v>
      </c>
      <c r="Y199" s="4">
        <v>0</v>
      </c>
      <c r="Z199" s="4">
        <f t="shared" si="174"/>
        <v>3000</v>
      </c>
      <c r="AA199" s="5">
        <f t="shared" si="175"/>
        <v>100</v>
      </c>
      <c r="AB199" s="4">
        <f t="shared" si="164"/>
        <v>0</v>
      </c>
      <c r="AC199" s="4">
        <f t="shared" si="165"/>
        <v>100</v>
      </c>
    </row>
    <row r="200" spans="1:29" s="16" customFormat="1" ht="109.8" customHeight="1" x14ac:dyDescent="0.25">
      <c r="A200" s="19" t="s">
        <v>259</v>
      </c>
      <c r="B200" s="7" t="s">
        <v>263</v>
      </c>
      <c r="C200" s="3" t="s">
        <v>262</v>
      </c>
      <c r="D200" s="4">
        <v>25000</v>
      </c>
      <c r="E200" s="4">
        <v>25000</v>
      </c>
      <c r="F200" s="4">
        <v>25000</v>
      </c>
      <c r="G200" s="4">
        <v>25000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0.73</v>
      </c>
      <c r="O200" s="4">
        <v>0</v>
      </c>
      <c r="P200" s="4">
        <f t="shared" si="230"/>
        <v>0.73</v>
      </c>
      <c r="Q200" s="4">
        <f t="shared" si="183"/>
        <v>0.73</v>
      </c>
      <c r="R200" s="4">
        <v>0</v>
      </c>
      <c r="S200" s="4">
        <v>0</v>
      </c>
      <c r="T200" s="4">
        <v>0</v>
      </c>
      <c r="U200" s="4">
        <f t="shared" si="172"/>
        <v>0</v>
      </c>
      <c r="V200" s="4">
        <f t="shared" si="173"/>
        <v>0.73</v>
      </c>
      <c r="W200" s="4">
        <v>0</v>
      </c>
      <c r="X200" s="67">
        <v>0</v>
      </c>
      <c r="Y200" s="4">
        <v>0</v>
      </c>
      <c r="Z200" s="4">
        <f t="shared" si="174"/>
        <v>0.73</v>
      </c>
      <c r="AA200" s="5" t="e">
        <f t="shared" si="175"/>
        <v>#DIV/0!</v>
      </c>
      <c r="AB200" s="4">
        <f t="shared" si="164"/>
        <v>0.73</v>
      </c>
      <c r="AC200" s="4">
        <v>0</v>
      </c>
    </row>
    <row r="201" spans="1:29" s="16" customFormat="1" ht="105.6" x14ac:dyDescent="0.25">
      <c r="A201" s="19" t="s">
        <v>259</v>
      </c>
      <c r="B201" s="7" t="s">
        <v>12</v>
      </c>
      <c r="C201" s="3" t="s">
        <v>262</v>
      </c>
      <c r="D201" s="4">
        <v>25000</v>
      </c>
      <c r="E201" s="4">
        <v>25000</v>
      </c>
      <c r="F201" s="4">
        <v>25000</v>
      </c>
      <c r="G201" s="4">
        <v>25000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f t="shared" si="230"/>
        <v>0</v>
      </c>
      <c r="Q201" s="4">
        <f t="shared" si="183"/>
        <v>0</v>
      </c>
      <c r="R201" s="4">
        <v>0</v>
      </c>
      <c r="S201" s="4">
        <v>36.92</v>
      </c>
      <c r="T201" s="4">
        <v>0</v>
      </c>
      <c r="U201" s="4">
        <f t="shared" si="172"/>
        <v>36.92</v>
      </c>
      <c r="V201" s="4">
        <f t="shared" si="173"/>
        <v>36.92</v>
      </c>
      <c r="W201" s="4">
        <v>0</v>
      </c>
      <c r="X201" s="67">
        <v>0</v>
      </c>
      <c r="Y201" s="4">
        <v>0</v>
      </c>
      <c r="Z201" s="4">
        <f t="shared" si="174"/>
        <v>36.92</v>
      </c>
      <c r="AA201" s="5"/>
      <c r="AB201" s="4">
        <f t="shared" si="164"/>
        <v>36.92</v>
      </c>
      <c r="AC201" s="4">
        <v>0</v>
      </c>
    </row>
    <row r="202" spans="1:29" s="16" customFormat="1" ht="105.6" x14ac:dyDescent="0.25">
      <c r="A202" s="19" t="s">
        <v>259</v>
      </c>
      <c r="B202" s="7" t="s">
        <v>264</v>
      </c>
      <c r="C202" s="3" t="s">
        <v>262</v>
      </c>
      <c r="D202" s="4">
        <v>1560000</v>
      </c>
      <c r="E202" s="4">
        <v>1560000</v>
      </c>
      <c r="F202" s="4">
        <v>1560000</v>
      </c>
      <c r="G202" s="4">
        <v>1560000</v>
      </c>
      <c r="H202" s="4">
        <v>600000</v>
      </c>
      <c r="I202" s="4">
        <v>31307.56</v>
      </c>
      <c r="J202" s="4">
        <v>87406.62</v>
      </c>
      <c r="K202" s="4">
        <v>-14985.77</v>
      </c>
      <c r="L202" s="4">
        <f>I202+J202+K202</f>
        <v>103728.40999999999</v>
      </c>
      <c r="M202" s="4">
        <v>20814.88</v>
      </c>
      <c r="N202" s="4">
        <v>166508.22</v>
      </c>
      <c r="O202" s="4">
        <v>76356.929999999993</v>
      </c>
      <c r="P202" s="4">
        <f t="shared" si="230"/>
        <v>263680.03000000003</v>
      </c>
      <c r="Q202" s="4">
        <f t="shared" si="183"/>
        <v>367408.44</v>
      </c>
      <c r="R202" s="4">
        <v>13201.51</v>
      </c>
      <c r="S202" s="4">
        <v>17598.95</v>
      </c>
      <c r="T202" s="4">
        <v>12178.95</v>
      </c>
      <c r="U202" s="4">
        <f t="shared" si="172"/>
        <v>42979.41</v>
      </c>
      <c r="V202" s="4">
        <f t="shared" si="173"/>
        <v>410387.85</v>
      </c>
      <c r="W202" s="4">
        <v>17786.47</v>
      </c>
      <c r="X202" s="67">
        <v>2406.9299999999998</v>
      </c>
      <c r="Y202" s="4">
        <v>-372.39</v>
      </c>
      <c r="Z202" s="4">
        <f t="shared" si="174"/>
        <v>430208.85999999993</v>
      </c>
      <c r="AA202" s="5">
        <f t="shared" si="175"/>
        <v>68.397975000000002</v>
      </c>
      <c r="AB202" s="4">
        <f t="shared" si="164"/>
        <v>-169791.14000000007</v>
      </c>
      <c r="AC202" s="4">
        <f t="shared" si="165"/>
        <v>71.70147666666665</v>
      </c>
    </row>
    <row r="203" spans="1:29" s="16" customFormat="1" ht="52.8" x14ac:dyDescent="0.25">
      <c r="A203" s="100" t="s">
        <v>378</v>
      </c>
      <c r="B203" s="7" t="s">
        <v>399</v>
      </c>
      <c r="C203" s="3" t="s">
        <v>262</v>
      </c>
      <c r="D203" s="4">
        <v>0</v>
      </c>
      <c r="E203" s="4">
        <v>2000</v>
      </c>
      <c r="F203" s="4">
        <v>2000</v>
      </c>
      <c r="G203" s="4">
        <v>2000</v>
      </c>
      <c r="H203" s="4">
        <v>2000</v>
      </c>
      <c r="I203" s="4">
        <v>2000</v>
      </c>
      <c r="J203" s="4">
        <v>0</v>
      </c>
      <c r="K203" s="4">
        <v>0</v>
      </c>
      <c r="L203" s="4">
        <f>I203+J203+K203</f>
        <v>2000</v>
      </c>
      <c r="M203" s="4">
        <v>0</v>
      </c>
      <c r="N203" s="4">
        <v>0</v>
      </c>
      <c r="O203" s="4">
        <v>0</v>
      </c>
      <c r="P203" s="4">
        <f t="shared" si="230"/>
        <v>0</v>
      </c>
      <c r="Q203" s="4">
        <f t="shared" si="183"/>
        <v>2000</v>
      </c>
      <c r="R203" s="4">
        <v>0</v>
      </c>
      <c r="S203" s="4">
        <v>0</v>
      </c>
      <c r="T203" s="4">
        <v>0</v>
      </c>
      <c r="U203" s="4">
        <f t="shared" si="172"/>
        <v>0</v>
      </c>
      <c r="V203" s="4">
        <f t="shared" si="173"/>
        <v>2000</v>
      </c>
      <c r="W203" s="4">
        <v>0</v>
      </c>
      <c r="X203" s="67">
        <v>0</v>
      </c>
      <c r="Y203" s="4">
        <v>0</v>
      </c>
      <c r="Z203" s="4">
        <f t="shared" si="174"/>
        <v>2000</v>
      </c>
      <c r="AA203" s="5">
        <f t="shared" si="175"/>
        <v>100</v>
      </c>
      <c r="AB203" s="4">
        <f t="shared" si="164"/>
        <v>0</v>
      </c>
      <c r="AC203" s="4">
        <f t="shared" si="165"/>
        <v>100</v>
      </c>
    </row>
    <row r="204" spans="1:29" s="16" customFormat="1" ht="52.8" x14ac:dyDescent="0.25">
      <c r="A204" s="100" t="s">
        <v>378</v>
      </c>
      <c r="B204" s="7" t="s">
        <v>401</v>
      </c>
      <c r="C204" s="3" t="s">
        <v>402</v>
      </c>
      <c r="D204" s="4">
        <v>0</v>
      </c>
      <c r="E204" s="4">
        <v>2000</v>
      </c>
      <c r="F204" s="4">
        <v>2000</v>
      </c>
      <c r="G204" s="4">
        <v>2000</v>
      </c>
      <c r="H204" s="4">
        <v>5042.37</v>
      </c>
      <c r="I204" s="4">
        <v>0</v>
      </c>
      <c r="J204" s="4">
        <v>1995</v>
      </c>
      <c r="K204" s="4">
        <v>0</v>
      </c>
      <c r="L204" s="4">
        <f>I204+J204+K204</f>
        <v>1995</v>
      </c>
      <c r="M204" s="4">
        <v>0</v>
      </c>
      <c r="N204" s="4">
        <v>0</v>
      </c>
      <c r="O204" s="4">
        <v>2000</v>
      </c>
      <c r="P204" s="4">
        <f t="shared" si="230"/>
        <v>2000</v>
      </c>
      <c r="Q204" s="4">
        <f t="shared" si="183"/>
        <v>3995</v>
      </c>
      <c r="R204" s="4">
        <v>14.75</v>
      </c>
      <c r="S204" s="4"/>
      <c r="T204" s="4">
        <v>1032.6199999999999</v>
      </c>
      <c r="U204" s="4">
        <f t="shared" si="172"/>
        <v>1047.3699999999999</v>
      </c>
      <c r="V204" s="4">
        <f t="shared" si="173"/>
        <v>5042.37</v>
      </c>
      <c r="W204" s="4">
        <v>0</v>
      </c>
      <c r="X204" s="67">
        <v>0</v>
      </c>
      <c r="Y204" s="4">
        <v>0</v>
      </c>
      <c r="Z204" s="4">
        <f t="shared" si="174"/>
        <v>5042.37</v>
      </c>
      <c r="AA204" s="5">
        <f t="shared" si="175"/>
        <v>100</v>
      </c>
      <c r="AB204" s="4">
        <f t="shared" ref="AB204:AB267" si="231">Z204-H204</f>
        <v>0</v>
      </c>
      <c r="AC204" s="4">
        <f t="shared" ref="AC204:AC267" si="232">Z204/H204*100</f>
        <v>100</v>
      </c>
    </row>
    <row r="205" spans="1:29" s="16" customFormat="1" ht="105.6" x14ac:dyDescent="0.25">
      <c r="A205" s="19" t="s">
        <v>259</v>
      </c>
      <c r="B205" s="7" t="s">
        <v>239</v>
      </c>
      <c r="C205" s="3" t="s">
        <v>262</v>
      </c>
      <c r="D205" s="4">
        <v>50000</v>
      </c>
      <c r="E205" s="4">
        <v>8000</v>
      </c>
      <c r="F205" s="4">
        <v>8000</v>
      </c>
      <c r="G205" s="4">
        <v>8000</v>
      </c>
      <c r="H205" s="4">
        <v>10000</v>
      </c>
      <c r="I205" s="4">
        <v>16.62</v>
      </c>
      <c r="J205" s="4">
        <v>2078.04</v>
      </c>
      <c r="K205" s="4">
        <v>10112.31</v>
      </c>
      <c r="L205" s="4">
        <f>I205+J205+K205</f>
        <v>12206.97</v>
      </c>
      <c r="M205" s="4">
        <v>-9984.5300000000007</v>
      </c>
      <c r="N205" s="4">
        <v>1604.99</v>
      </c>
      <c r="O205" s="4">
        <v>1851.63</v>
      </c>
      <c r="P205" s="4">
        <f t="shared" si="230"/>
        <v>-6527.9100000000008</v>
      </c>
      <c r="Q205" s="4">
        <f t="shared" si="183"/>
        <v>5679.0599999999986</v>
      </c>
      <c r="R205" s="4">
        <v>565.66999999999996</v>
      </c>
      <c r="S205" s="4">
        <v>856.33</v>
      </c>
      <c r="T205" s="4">
        <v>1658.12</v>
      </c>
      <c r="U205" s="4">
        <f t="shared" si="172"/>
        <v>3080.12</v>
      </c>
      <c r="V205" s="4">
        <f t="shared" si="173"/>
        <v>8759.1799999999985</v>
      </c>
      <c r="W205" s="4">
        <v>1930</v>
      </c>
      <c r="X205" s="67">
        <v>0</v>
      </c>
      <c r="Y205" s="4">
        <v>10000</v>
      </c>
      <c r="Z205" s="4">
        <f t="shared" si="174"/>
        <v>20689.18</v>
      </c>
      <c r="AA205" s="5">
        <f t="shared" si="175"/>
        <v>87.591799999999992</v>
      </c>
      <c r="AB205" s="4">
        <f t="shared" si="231"/>
        <v>10689.18</v>
      </c>
      <c r="AC205" s="4">
        <f t="shared" si="232"/>
        <v>206.89179999999999</v>
      </c>
    </row>
    <row r="206" spans="1:29" s="16" customFormat="1" ht="105.6" x14ac:dyDescent="0.25">
      <c r="A206" s="19" t="s">
        <v>259</v>
      </c>
      <c r="B206" s="7" t="s">
        <v>92</v>
      </c>
      <c r="C206" s="3" t="s">
        <v>262</v>
      </c>
      <c r="D206" s="4"/>
      <c r="E206" s="4"/>
      <c r="F206" s="4"/>
      <c r="G206" s="4"/>
      <c r="H206" s="4">
        <v>-796.25</v>
      </c>
      <c r="I206" s="4"/>
      <c r="J206" s="4"/>
      <c r="K206" s="4"/>
      <c r="L206" s="4">
        <f>I206+J206+K206</f>
        <v>0</v>
      </c>
      <c r="M206" s="4">
        <v>784.35</v>
      </c>
      <c r="N206" s="4">
        <v>-784.35</v>
      </c>
      <c r="O206" s="4">
        <v>106.07</v>
      </c>
      <c r="P206" s="4">
        <f t="shared" si="230"/>
        <v>106.07</v>
      </c>
      <c r="Q206" s="4">
        <f t="shared" si="183"/>
        <v>106.07</v>
      </c>
      <c r="R206" s="4">
        <v>0</v>
      </c>
      <c r="S206" s="4">
        <v>0</v>
      </c>
      <c r="T206" s="4">
        <v>0</v>
      </c>
      <c r="U206" s="4">
        <f t="shared" si="172"/>
        <v>0</v>
      </c>
      <c r="V206" s="4">
        <f t="shared" si="173"/>
        <v>106.07</v>
      </c>
      <c r="W206" s="4">
        <v>203.75</v>
      </c>
      <c r="X206" s="67">
        <v>-1106.07</v>
      </c>
      <c r="Y206" s="4">
        <v>-203.75</v>
      </c>
      <c r="Z206" s="4">
        <f t="shared" si="174"/>
        <v>-1000</v>
      </c>
      <c r="AA206" s="5"/>
      <c r="AB206" s="4">
        <f t="shared" si="231"/>
        <v>-203.75</v>
      </c>
      <c r="AC206" s="4">
        <f t="shared" si="232"/>
        <v>125.58869701726844</v>
      </c>
    </row>
    <row r="207" spans="1:29" s="16" customFormat="1" ht="66" x14ac:dyDescent="0.25">
      <c r="A207" s="19" t="s">
        <v>265</v>
      </c>
      <c r="B207" s="7" t="s">
        <v>5</v>
      </c>
      <c r="C207" s="3" t="s">
        <v>266</v>
      </c>
      <c r="D207" s="4">
        <f t="shared" ref="D207:T207" si="233">+D208</f>
        <v>20000</v>
      </c>
      <c r="E207" s="4">
        <f t="shared" si="233"/>
        <v>20000</v>
      </c>
      <c r="F207" s="4">
        <f t="shared" si="233"/>
        <v>20000</v>
      </c>
      <c r="G207" s="4">
        <f t="shared" si="233"/>
        <v>20000</v>
      </c>
      <c r="H207" s="4">
        <f t="shared" si="233"/>
        <v>27000</v>
      </c>
      <c r="I207" s="4">
        <f t="shared" si="233"/>
        <v>1251.3800000000001</v>
      </c>
      <c r="J207" s="4">
        <f t="shared" si="233"/>
        <v>60648.31</v>
      </c>
      <c r="K207" s="4">
        <f t="shared" si="233"/>
        <v>-45395.6</v>
      </c>
      <c r="L207" s="4">
        <f t="shared" si="233"/>
        <v>16504.089999999997</v>
      </c>
      <c r="M207" s="4">
        <f t="shared" si="233"/>
        <v>-822.45</v>
      </c>
      <c r="N207" s="4">
        <f t="shared" si="233"/>
        <v>2874.65</v>
      </c>
      <c r="O207" s="4">
        <f t="shared" si="233"/>
        <v>1470.79</v>
      </c>
      <c r="P207" s="4">
        <f t="shared" si="233"/>
        <v>3522.99</v>
      </c>
      <c r="Q207" s="4">
        <f t="shared" si="183"/>
        <v>20027.079999999994</v>
      </c>
      <c r="R207" s="4">
        <f t="shared" si="233"/>
        <v>604.9</v>
      </c>
      <c r="S207" s="4">
        <f t="shared" si="233"/>
        <v>9892.17</v>
      </c>
      <c r="T207" s="4">
        <f t="shared" si="233"/>
        <v>262.98</v>
      </c>
      <c r="U207" s="4">
        <f t="shared" si="172"/>
        <v>10760.05</v>
      </c>
      <c r="V207" s="4">
        <f t="shared" si="173"/>
        <v>30787.129999999994</v>
      </c>
      <c r="W207" s="4">
        <f t="shared" ref="W207:Y207" si="234">+W208</f>
        <v>-3775.22</v>
      </c>
      <c r="X207" s="67">
        <f t="shared" si="234"/>
        <v>410.16</v>
      </c>
      <c r="Y207" s="4">
        <f t="shared" si="234"/>
        <v>5233.7700000000004</v>
      </c>
      <c r="Z207" s="4">
        <f t="shared" si="174"/>
        <v>32655.839999999993</v>
      </c>
      <c r="AA207" s="5">
        <f t="shared" si="175"/>
        <v>114.02640740740739</v>
      </c>
      <c r="AB207" s="4">
        <f t="shared" si="231"/>
        <v>5655.8399999999929</v>
      </c>
      <c r="AC207" s="4">
        <f t="shared" si="232"/>
        <v>120.94755555555552</v>
      </c>
    </row>
    <row r="208" spans="1:29" s="16" customFormat="1" ht="66" x14ac:dyDescent="0.25">
      <c r="A208" s="19" t="s">
        <v>265</v>
      </c>
      <c r="B208" s="7" t="s">
        <v>12</v>
      </c>
      <c r="C208" s="3" t="s">
        <v>266</v>
      </c>
      <c r="D208" s="4">
        <v>20000</v>
      </c>
      <c r="E208" s="4">
        <v>20000</v>
      </c>
      <c r="F208" s="4">
        <v>20000</v>
      </c>
      <c r="G208" s="4">
        <v>20000</v>
      </c>
      <c r="H208" s="4">
        <v>27000</v>
      </c>
      <c r="I208" s="4">
        <v>1251.3800000000001</v>
      </c>
      <c r="J208" s="4">
        <v>60648.31</v>
      </c>
      <c r="K208" s="4">
        <v>-45395.6</v>
      </c>
      <c r="L208" s="4">
        <f>I208+J208+K208</f>
        <v>16504.089999999997</v>
      </c>
      <c r="M208" s="4">
        <v>-822.45</v>
      </c>
      <c r="N208" s="4">
        <v>2874.65</v>
      </c>
      <c r="O208" s="4">
        <v>1470.79</v>
      </c>
      <c r="P208" s="4">
        <f>M208+N208+O208</f>
        <v>3522.99</v>
      </c>
      <c r="Q208" s="4">
        <f t="shared" si="183"/>
        <v>20027.079999999994</v>
      </c>
      <c r="R208" s="4">
        <v>604.9</v>
      </c>
      <c r="S208" s="4">
        <v>9892.17</v>
      </c>
      <c r="T208" s="4">
        <v>262.98</v>
      </c>
      <c r="U208" s="4">
        <f t="shared" si="172"/>
        <v>10760.05</v>
      </c>
      <c r="V208" s="4">
        <f t="shared" si="173"/>
        <v>30787.129999999994</v>
      </c>
      <c r="W208" s="4">
        <v>-3775.22</v>
      </c>
      <c r="X208" s="67">
        <v>410.16</v>
      </c>
      <c r="Y208" s="4">
        <v>5233.7700000000004</v>
      </c>
      <c r="Z208" s="4">
        <f t="shared" si="174"/>
        <v>32655.839999999993</v>
      </c>
      <c r="AA208" s="5">
        <f t="shared" si="175"/>
        <v>114.02640740740739</v>
      </c>
      <c r="AB208" s="4">
        <f t="shared" si="231"/>
        <v>5655.8399999999929</v>
      </c>
      <c r="AC208" s="4">
        <f t="shared" si="232"/>
        <v>120.94755555555552</v>
      </c>
    </row>
    <row r="209" spans="1:29" s="16" customFormat="1" ht="13.2" x14ac:dyDescent="0.25">
      <c r="A209" s="19" t="s">
        <v>267</v>
      </c>
      <c r="B209" s="30" t="s">
        <v>5</v>
      </c>
      <c r="C209" s="81" t="s">
        <v>268</v>
      </c>
      <c r="D209" s="4">
        <f t="shared" ref="D209:T210" si="235">+D210</f>
        <v>1000</v>
      </c>
      <c r="E209" s="4">
        <f t="shared" si="235"/>
        <v>501000</v>
      </c>
      <c r="F209" s="4">
        <f t="shared" si="235"/>
        <v>501000</v>
      </c>
      <c r="G209" s="4">
        <f t="shared" si="235"/>
        <v>501000</v>
      </c>
      <c r="H209" s="4">
        <f t="shared" si="235"/>
        <v>691745.5</v>
      </c>
      <c r="I209" s="4">
        <f t="shared" si="235"/>
        <v>0</v>
      </c>
      <c r="J209" s="4">
        <f t="shared" si="235"/>
        <v>0</v>
      </c>
      <c r="K209" s="4">
        <f t="shared" si="235"/>
        <v>242486.21</v>
      </c>
      <c r="L209" s="4">
        <f t="shared" si="235"/>
        <v>242486.21</v>
      </c>
      <c r="M209" s="4">
        <f t="shared" si="235"/>
        <v>0</v>
      </c>
      <c r="N209" s="4">
        <f t="shared" si="235"/>
        <v>0</v>
      </c>
      <c r="O209" s="4">
        <f t="shared" si="235"/>
        <v>141768.64000000001</v>
      </c>
      <c r="P209" s="4">
        <f t="shared" si="235"/>
        <v>141768.64000000001</v>
      </c>
      <c r="Q209" s="4">
        <f t="shared" si="183"/>
        <v>384254.85</v>
      </c>
      <c r="R209" s="4">
        <f t="shared" si="235"/>
        <v>0</v>
      </c>
      <c r="S209" s="4">
        <f t="shared" si="235"/>
        <v>0</v>
      </c>
      <c r="T209" s="4">
        <f t="shared" si="235"/>
        <v>223415.57</v>
      </c>
      <c r="U209" s="4">
        <f t="shared" si="172"/>
        <v>223415.57</v>
      </c>
      <c r="V209" s="4">
        <f t="shared" si="173"/>
        <v>607670.41999999993</v>
      </c>
      <c r="W209" s="4">
        <f t="shared" ref="W209:Y210" si="236">+W210</f>
        <v>77391.03</v>
      </c>
      <c r="X209" s="67">
        <f t="shared" si="236"/>
        <v>0</v>
      </c>
      <c r="Y209" s="4">
        <f t="shared" si="236"/>
        <v>220212.23</v>
      </c>
      <c r="Z209" s="4">
        <f t="shared" si="174"/>
        <v>905273.67999999993</v>
      </c>
      <c r="AA209" s="5">
        <f t="shared" si="175"/>
        <v>87.845952015589532</v>
      </c>
      <c r="AB209" s="4">
        <f t="shared" si="231"/>
        <v>213528.17999999993</v>
      </c>
      <c r="AC209" s="4">
        <f t="shared" si="232"/>
        <v>130.86802588524247</v>
      </c>
    </row>
    <row r="210" spans="1:29" s="16" customFormat="1" ht="26.4" x14ac:dyDescent="0.25">
      <c r="A210" s="19" t="s">
        <v>269</v>
      </c>
      <c r="B210" s="30" t="s">
        <v>5</v>
      </c>
      <c r="C210" s="81" t="s">
        <v>270</v>
      </c>
      <c r="D210" s="4">
        <f t="shared" si="235"/>
        <v>1000</v>
      </c>
      <c r="E210" s="4">
        <f t="shared" si="235"/>
        <v>501000</v>
      </c>
      <c r="F210" s="4">
        <f t="shared" si="235"/>
        <v>501000</v>
      </c>
      <c r="G210" s="4">
        <f t="shared" si="235"/>
        <v>501000</v>
      </c>
      <c r="H210" s="4">
        <f t="shared" si="235"/>
        <v>691745.5</v>
      </c>
      <c r="I210" s="4">
        <f t="shared" si="235"/>
        <v>0</v>
      </c>
      <c r="J210" s="4">
        <f t="shared" si="235"/>
        <v>0</v>
      </c>
      <c r="K210" s="4">
        <f t="shared" si="235"/>
        <v>242486.21</v>
      </c>
      <c r="L210" s="4">
        <f t="shared" si="235"/>
        <v>242486.21</v>
      </c>
      <c r="M210" s="4">
        <f t="shared" si="235"/>
        <v>0</v>
      </c>
      <c r="N210" s="4">
        <f t="shared" si="235"/>
        <v>0</v>
      </c>
      <c r="O210" s="4">
        <f t="shared" si="235"/>
        <v>141768.64000000001</v>
      </c>
      <c r="P210" s="4">
        <f t="shared" si="235"/>
        <v>141768.64000000001</v>
      </c>
      <c r="Q210" s="4">
        <f t="shared" si="183"/>
        <v>384254.85</v>
      </c>
      <c r="R210" s="4">
        <f t="shared" si="235"/>
        <v>0</v>
      </c>
      <c r="S210" s="4">
        <f t="shared" si="235"/>
        <v>0</v>
      </c>
      <c r="T210" s="4">
        <f t="shared" si="235"/>
        <v>223415.57</v>
      </c>
      <c r="U210" s="4">
        <f t="shared" si="172"/>
        <v>223415.57</v>
      </c>
      <c r="V210" s="4">
        <f t="shared" si="173"/>
        <v>607670.41999999993</v>
      </c>
      <c r="W210" s="4">
        <f t="shared" si="236"/>
        <v>77391.03</v>
      </c>
      <c r="X210" s="67">
        <f t="shared" si="236"/>
        <v>0</v>
      </c>
      <c r="Y210" s="4">
        <f t="shared" si="236"/>
        <v>220212.23</v>
      </c>
      <c r="Z210" s="4">
        <f t="shared" si="174"/>
        <v>905273.67999999993</v>
      </c>
      <c r="AA210" s="5">
        <f t="shared" si="175"/>
        <v>87.845952015589532</v>
      </c>
      <c r="AB210" s="4">
        <f t="shared" si="231"/>
        <v>213528.17999999993</v>
      </c>
      <c r="AC210" s="4">
        <f t="shared" si="232"/>
        <v>130.86802588524247</v>
      </c>
    </row>
    <row r="211" spans="1:29" s="16" customFormat="1" ht="52.8" x14ac:dyDescent="0.25">
      <c r="A211" s="19" t="s">
        <v>271</v>
      </c>
      <c r="B211" s="30" t="s">
        <v>92</v>
      </c>
      <c r="C211" s="81" t="s">
        <v>272</v>
      </c>
      <c r="D211" s="4">
        <v>1000</v>
      </c>
      <c r="E211" s="4">
        <v>501000</v>
      </c>
      <c r="F211" s="4">
        <v>501000</v>
      </c>
      <c r="G211" s="4">
        <v>501000</v>
      </c>
      <c r="H211" s="4">
        <v>691745.5</v>
      </c>
      <c r="I211" s="4">
        <v>0</v>
      </c>
      <c r="J211" s="4">
        <v>0</v>
      </c>
      <c r="K211" s="4">
        <v>242486.21</v>
      </c>
      <c r="L211" s="4">
        <f>I211+J211+K211</f>
        <v>242486.21</v>
      </c>
      <c r="M211" s="4">
        <v>0</v>
      </c>
      <c r="N211" s="4">
        <v>0</v>
      </c>
      <c r="O211" s="4">
        <v>141768.64000000001</v>
      </c>
      <c r="P211" s="4">
        <f>M211+N211+O211</f>
        <v>141768.64000000001</v>
      </c>
      <c r="Q211" s="4">
        <f t="shared" si="183"/>
        <v>384254.85</v>
      </c>
      <c r="R211" s="4">
        <v>0</v>
      </c>
      <c r="S211" s="4"/>
      <c r="T211" s="4">
        <v>223415.57</v>
      </c>
      <c r="U211" s="4">
        <f t="shared" si="172"/>
        <v>223415.57</v>
      </c>
      <c r="V211" s="4">
        <f t="shared" si="173"/>
        <v>607670.41999999993</v>
      </c>
      <c r="W211" s="4">
        <v>77391.03</v>
      </c>
      <c r="X211" s="67">
        <v>0</v>
      </c>
      <c r="Y211" s="4">
        <v>220212.23</v>
      </c>
      <c r="Z211" s="4">
        <f t="shared" si="174"/>
        <v>905273.67999999993</v>
      </c>
      <c r="AA211" s="5">
        <f t="shared" si="175"/>
        <v>87.845952015589532</v>
      </c>
      <c r="AB211" s="4">
        <f t="shared" si="231"/>
        <v>213528.17999999993</v>
      </c>
      <c r="AC211" s="4">
        <f t="shared" si="232"/>
        <v>130.86802588524247</v>
      </c>
    </row>
    <row r="212" spans="1:29" s="16" customFormat="1" ht="13.2" x14ac:dyDescent="0.25">
      <c r="A212" s="19" t="s">
        <v>273</v>
      </c>
      <c r="B212" s="7" t="s">
        <v>5</v>
      </c>
      <c r="C212" s="3" t="s">
        <v>274</v>
      </c>
      <c r="D212" s="4">
        <f t="shared" ref="D212:P212" si="237">+D218+D213</f>
        <v>15326</v>
      </c>
      <c r="E212" s="4">
        <f t="shared" si="237"/>
        <v>15326</v>
      </c>
      <c r="F212" s="4">
        <f t="shared" si="237"/>
        <v>15326</v>
      </c>
      <c r="G212" s="4">
        <f t="shared" si="237"/>
        <v>15326</v>
      </c>
      <c r="H212" s="67">
        <f t="shared" si="237"/>
        <v>16126</v>
      </c>
      <c r="I212" s="4">
        <f t="shared" si="237"/>
        <v>-22167.3</v>
      </c>
      <c r="J212" s="4">
        <f t="shared" si="237"/>
        <v>37147.300000000003</v>
      </c>
      <c r="K212" s="4">
        <f t="shared" si="237"/>
        <v>43264.1</v>
      </c>
      <c r="L212" s="4">
        <f t="shared" si="237"/>
        <v>58244.1</v>
      </c>
      <c r="M212" s="4">
        <f t="shared" si="237"/>
        <v>-26177.129999999997</v>
      </c>
      <c r="N212" s="4">
        <f t="shared" si="237"/>
        <v>54854.130000000005</v>
      </c>
      <c r="O212" s="4">
        <f t="shared" si="237"/>
        <v>181145.82</v>
      </c>
      <c r="P212" s="4">
        <f t="shared" si="237"/>
        <v>209822.81999999998</v>
      </c>
      <c r="Q212" s="4">
        <f t="shared" si="183"/>
        <v>268066.92</v>
      </c>
      <c r="R212" s="4">
        <f t="shared" ref="R212:T212" si="238">+R218+R213</f>
        <v>42134.610000000015</v>
      </c>
      <c r="S212" s="4">
        <f t="shared" si="238"/>
        <v>-78928.48000000001</v>
      </c>
      <c r="T212" s="4">
        <f t="shared" si="238"/>
        <v>-164530.34999999998</v>
      </c>
      <c r="U212" s="4">
        <f t="shared" si="172"/>
        <v>-201324.21999999997</v>
      </c>
      <c r="V212" s="4">
        <f t="shared" si="173"/>
        <v>66742.700000000012</v>
      </c>
      <c r="W212" s="4">
        <f t="shared" ref="W212:Y212" si="239">+W218+W213</f>
        <v>-58165.37</v>
      </c>
      <c r="X212" s="67">
        <f t="shared" si="239"/>
        <v>14241.18</v>
      </c>
      <c r="Y212" s="4">
        <f t="shared" si="239"/>
        <v>-5301.18</v>
      </c>
      <c r="Z212" s="4">
        <f t="shared" si="174"/>
        <v>17517.330000000009</v>
      </c>
      <c r="AA212" s="5">
        <f t="shared" si="175"/>
        <v>413.88254991938493</v>
      </c>
      <c r="AB212" s="4">
        <f t="shared" si="231"/>
        <v>1391.330000000009</v>
      </c>
      <c r="AC212" s="4">
        <f t="shared" si="232"/>
        <v>108.62786803919143</v>
      </c>
    </row>
    <row r="213" spans="1:29" s="16" customFormat="1" ht="13.2" x14ac:dyDescent="0.25">
      <c r="A213" s="1" t="s">
        <v>440</v>
      </c>
      <c r="B213" s="7" t="s">
        <v>5</v>
      </c>
      <c r="C213" s="3" t="s">
        <v>442</v>
      </c>
      <c r="D213" s="4">
        <f>D214+D217</f>
        <v>0</v>
      </c>
      <c r="E213" s="4">
        <f>E214+E217</f>
        <v>0</v>
      </c>
      <c r="F213" s="4">
        <f>F214+F217</f>
        <v>0</v>
      </c>
      <c r="G213" s="4">
        <f t="shared" ref="G213:M213" si="240">G214+G217+G215+G216</f>
        <v>0</v>
      </c>
      <c r="H213" s="4">
        <f t="shared" si="240"/>
        <v>0</v>
      </c>
      <c r="I213" s="4">
        <f t="shared" si="240"/>
        <v>-26187.3</v>
      </c>
      <c r="J213" s="4">
        <f t="shared" si="240"/>
        <v>37147.300000000003</v>
      </c>
      <c r="K213" s="4">
        <f t="shared" si="240"/>
        <v>39474.1</v>
      </c>
      <c r="L213" s="4">
        <f t="shared" si="240"/>
        <v>50434.1</v>
      </c>
      <c r="M213" s="4">
        <f t="shared" si="240"/>
        <v>-28067.129999999997</v>
      </c>
      <c r="N213" s="4">
        <f>N214+N217+N215+N216</f>
        <v>53547.880000000005</v>
      </c>
      <c r="O213" s="4">
        <f t="shared" ref="O213:T213" si="241">O214+O217+O215+O216</f>
        <v>179845.82</v>
      </c>
      <c r="P213" s="4">
        <f t="shared" si="241"/>
        <v>205326.56999999998</v>
      </c>
      <c r="Q213" s="4">
        <f t="shared" si="241"/>
        <v>255760.66999999998</v>
      </c>
      <c r="R213" s="4">
        <f t="shared" si="241"/>
        <v>40834.610000000015</v>
      </c>
      <c r="S213" s="4">
        <f t="shared" si="241"/>
        <v>-80178.48000000001</v>
      </c>
      <c r="T213" s="4">
        <f t="shared" si="241"/>
        <v>-165780.34999999998</v>
      </c>
      <c r="U213" s="4">
        <f t="shared" ref="U213:U279" si="242">R213+S213+T213</f>
        <v>-205124.21999999997</v>
      </c>
      <c r="V213" s="4">
        <f t="shared" ref="V213:V279" si="243">L213+P213+U213</f>
        <v>50636.450000000012</v>
      </c>
      <c r="W213" s="4">
        <f t="shared" ref="W213:Y213" si="244">W214+W217+W215+W216</f>
        <v>-58165.37</v>
      </c>
      <c r="X213" s="67">
        <f t="shared" si="244"/>
        <v>14241.18</v>
      </c>
      <c r="Y213" s="4">
        <f t="shared" si="244"/>
        <v>-5301.18</v>
      </c>
      <c r="Z213" s="4">
        <f t="shared" ref="Z213:Z279" si="245">L213+P213+U213+W213+X213+Y213</f>
        <v>1411.080000000009</v>
      </c>
      <c r="AA213" s="5"/>
      <c r="AB213" s="4">
        <f t="shared" si="231"/>
        <v>1411.080000000009</v>
      </c>
      <c r="AC213" s="4">
        <v>0</v>
      </c>
    </row>
    <row r="214" spans="1:29" s="16" customFormat="1" ht="26.4" x14ac:dyDescent="0.25">
      <c r="A214" s="1" t="s">
        <v>441</v>
      </c>
      <c r="B214" s="7" t="s">
        <v>87</v>
      </c>
      <c r="C214" s="3" t="s">
        <v>404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-26187.3</v>
      </c>
      <c r="J214" s="4">
        <v>4402.12</v>
      </c>
      <c r="K214" s="4">
        <v>10709.17</v>
      </c>
      <c r="L214" s="4">
        <f>I214+J214+K214</f>
        <v>-11076.01</v>
      </c>
      <c r="M214" s="4">
        <v>10470.219999999999</v>
      </c>
      <c r="N214" s="4">
        <v>-12705.52</v>
      </c>
      <c r="O214" s="4">
        <v>5078.92</v>
      </c>
      <c r="P214" s="4">
        <f>M214+N214+O214</f>
        <v>2843.619999999999</v>
      </c>
      <c r="Q214" s="4">
        <f t="shared" si="183"/>
        <v>-8232.3900000000012</v>
      </c>
      <c r="R214" s="4">
        <v>5492.41</v>
      </c>
      <c r="S214" s="4">
        <v>-23211.71</v>
      </c>
      <c r="T214" s="4">
        <v>-284.36</v>
      </c>
      <c r="U214" s="4">
        <f t="shared" si="242"/>
        <v>-18003.66</v>
      </c>
      <c r="V214" s="4">
        <f t="shared" si="243"/>
        <v>-26236.050000000003</v>
      </c>
      <c r="W214" s="4">
        <v>3560</v>
      </c>
      <c r="X214" s="67">
        <v>-3560</v>
      </c>
      <c r="Y214" s="4">
        <v>4500</v>
      </c>
      <c r="Z214" s="4">
        <f t="shared" si="245"/>
        <v>-21736.050000000003</v>
      </c>
      <c r="AA214" s="5"/>
      <c r="AB214" s="4">
        <f>Z214-H214</f>
        <v>-21736.050000000003</v>
      </c>
      <c r="AC214" s="4">
        <v>0</v>
      </c>
    </row>
    <row r="215" spans="1:29" s="16" customFormat="1" ht="26.4" hidden="1" x14ac:dyDescent="0.25">
      <c r="A215" s="1" t="s">
        <v>441</v>
      </c>
      <c r="B215" s="7" t="s">
        <v>290</v>
      </c>
      <c r="C215" s="3" t="s">
        <v>404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/>
      <c r="K215" s="4"/>
      <c r="L215" s="4">
        <f>I215+J215+K215</f>
        <v>0</v>
      </c>
      <c r="M215" s="4"/>
      <c r="N215" s="4">
        <v>45375</v>
      </c>
      <c r="O215" s="4">
        <v>-45375</v>
      </c>
      <c r="P215" s="4">
        <f t="shared" ref="P215:P217" si="246">M215+N215+O215</f>
        <v>0</v>
      </c>
      <c r="Q215" s="4">
        <f t="shared" si="183"/>
        <v>0</v>
      </c>
      <c r="R215" s="4">
        <v>8100</v>
      </c>
      <c r="S215" s="4">
        <v>-8100</v>
      </c>
      <c r="T215" s="4">
        <v>0</v>
      </c>
      <c r="U215" s="4">
        <f t="shared" si="242"/>
        <v>0</v>
      </c>
      <c r="V215" s="4">
        <f t="shared" si="243"/>
        <v>0</v>
      </c>
      <c r="W215" s="4"/>
      <c r="X215" s="67"/>
      <c r="Y215" s="4"/>
      <c r="Z215" s="4">
        <f t="shared" si="245"/>
        <v>0</v>
      </c>
      <c r="AA215" s="5"/>
      <c r="AB215" s="4">
        <f t="shared" si="231"/>
        <v>0</v>
      </c>
      <c r="AC215" s="4" t="e">
        <f t="shared" si="232"/>
        <v>#DIV/0!</v>
      </c>
    </row>
    <row r="216" spans="1:29" s="16" customFormat="1" ht="26.4" hidden="1" x14ac:dyDescent="0.25">
      <c r="A216" s="1" t="s">
        <v>441</v>
      </c>
      <c r="B216" s="7" t="s">
        <v>239</v>
      </c>
      <c r="C216" s="3" t="s">
        <v>404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/>
      <c r="K216" s="4"/>
      <c r="L216" s="4">
        <f>I216+J216+K216</f>
        <v>0</v>
      </c>
      <c r="M216" s="4"/>
      <c r="N216" s="4">
        <v>4518.62</v>
      </c>
      <c r="O216" s="4">
        <v>-4518.62</v>
      </c>
      <c r="P216" s="4">
        <f t="shared" si="246"/>
        <v>0</v>
      </c>
      <c r="Q216" s="4">
        <f t="shared" si="183"/>
        <v>0</v>
      </c>
      <c r="R216" s="4">
        <v>150948.98000000001</v>
      </c>
      <c r="S216" s="4">
        <v>-150000</v>
      </c>
      <c r="T216" s="4">
        <v>0</v>
      </c>
      <c r="U216" s="4">
        <f t="shared" si="242"/>
        <v>948.98000000001048</v>
      </c>
      <c r="V216" s="4">
        <f t="shared" si="243"/>
        <v>948.98000000001048</v>
      </c>
      <c r="W216" s="4">
        <v>-948.98</v>
      </c>
      <c r="X216" s="67">
        <v>0</v>
      </c>
      <c r="Y216" s="4">
        <v>0</v>
      </c>
      <c r="Z216" s="4">
        <f t="shared" si="245"/>
        <v>1.0459189070388675E-11</v>
      </c>
      <c r="AA216" s="5"/>
      <c r="AB216" s="4">
        <f t="shared" si="231"/>
        <v>1.0459189070388675E-11</v>
      </c>
      <c r="AC216" s="4">
        <v>0</v>
      </c>
    </row>
    <row r="217" spans="1:29" s="16" customFormat="1" ht="26.4" x14ac:dyDescent="0.25">
      <c r="A217" s="1" t="s">
        <v>441</v>
      </c>
      <c r="B217" s="7" t="s">
        <v>92</v>
      </c>
      <c r="C217" s="3" t="s">
        <v>404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>50829.71-18084.53</f>
        <v>32745.18</v>
      </c>
      <c r="K217" s="4">
        <v>28764.93</v>
      </c>
      <c r="L217" s="4">
        <f>I217+J217+K217</f>
        <v>61510.11</v>
      </c>
      <c r="M217" s="4">
        <v>-38537.35</v>
      </c>
      <c r="N217" s="4">
        <v>16359.78</v>
      </c>
      <c r="O217" s="4">
        <v>224660.52</v>
      </c>
      <c r="P217" s="4">
        <f t="shared" si="246"/>
        <v>202482.94999999998</v>
      </c>
      <c r="Q217" s="4">
        <f t="shared" si="183"/>
        <v>263993.06</v>
      </c>
      <c r="R217" s="4">
        <v>-123706.78</v>
      </c>
      <c r="S217" s="4">
        <v>101133.23</v>
      </c>
      <c r="T217" s="4">
        <v>-165495.99</v>
      </c>
      <c r="U217" s="4">
        <f t="shared" si="242"/>
        <v>-188069.53999999998</v>
      </c>
      <c r="V217" s="4">
        <f t="shared" si="243"/>
        <v>75923.520000000019</v>
      </c>
      <c r="W217" s="4">
        <v>-60776.39</v>
      </c>
      <c r="X217" s="67">
        <v>17801.18</v>
      </c>
      <c r="Y217" s="4">
        <v>-9801.18</v>
      </c>
      <c r="Z217" s="4">
        <f t="shared" si="245"/>
        <v>23147.130000000019</v>
      </c>
      <c r="AA217" s="5"/>
      <c r="AB217" s="4">
        <f t="shared" si="231"/>
        <v>23147.130000000019</v>
      </c>
      <c r="AC217" s="4">
        <v>0</v>
      </c>
    </row>
    <row r="218" spans="1:29" s="16" customFormat="1" ht="13.2" x14ac:dyDescent="0.25">
      <c r="A218" s="19" t="s">
        <v>275</v>
      </c>
      <c r="B218" s="7" t="s">
        <v>5</v>
      </c>
      <c r="C218" s="3" t="s">
        <v>276</v>
      </c>
      <c r="D218" s="4">
        <f t="shared" ref="D218:T219" si="247">+D219</f>
        <v>15326</v>
      </c>
      <c r="E218" s="4">
        <f t="shared" si="247"/>
        <v>15326</v>
      </c>
      <c r="F218" s="4">
        <f t="shared" si="247"/>
        <v>15326</v>
      </c>
      <c r="G218" s="4">
        <f t="shared" si="247"/>
        <v>15326</v>
      </c>
      <c r="H218" s="4">
        <f t="shared" si="247"/>
        <v>16126</v>
      </c>
      <c r="I218" s="4">
        <f t="shared" si="247"/>
        <v>4020</v>
      </c>
      <c r="J218" s="4">
        <f t="shared" si="247"/>
        <v>0</v>
      </c>
      <c r="K218" s="4">
        <f t="shared" si="247"/>
        <v>3790</v>
      </c>
      <c r="L218" s="4">
        <f t="shared" si="247"/>
        <v>7810</v>
      </c>
      <c r="M218" s="4">
        <f t="shared" si="247"/>
        <v>1890</v>
      </c>
      <c r="N218" s="4">
        <f t="shared" si="247"/>
        <v>1306.25</v>
      </c>
      <c r="O218" s="4">
        <f t="shared" si="247"/>
        <v>1300</v>
      </c>
      <c r="P218" s="4">
        <f t="shared" si="247"/>
        <v>4496.25</v>
      </c>
      <c r="Q218" s="4">
        <f t="shared" si="183"/>
        <v>12306.25</v>
      </c>
      <c r="R218" s="4">
        <f t="shared" si="247"/>
        <v>1300</v>
      </c>
      <c r="S218" s="4">
        <f t="shared" si="247"/>
        <v>1250</v>
      </c>
      <c r="T218" s="4">
        <f t="shared" si="247"/>
        <v>1250</v>
      </c>
      <c r="U218" s="4">
        <f t="shared" si="242"/>
        <v>3800</v>
      </c>
      <c r="V218" s="4">
        <f t="shared" si="243"/>
        <v>16106.25</v>
      </c>
      <c r="W218" s="4">
        <f t="shared" ref="W218:Y219" si="248">+W219</f>
        <v>0</v>
      </c>
      <c r="X218" s="67">
        <f t="shared" si="248"/>
        <v>0</v>
      </c>
      <c r="Y218" s="4">
        <f t="shared" si="248"/>
        <v>0</v>
      </c>
      <c r="Z218" s="4">
        <f t="shared" si="245"/>
        <v>16106.25</v>
      </c>
      <c r="AA218" s="5">
        <f t="shared" ref="AA218:AA284" si="249">V218/H218*100</f>
        <v>99.877526975071319</v>
      </c>
      <c r="AB218" s="4">
        <f t="shared" si="231"/>
        <v>-19.75</v>
      </c>
      <c r="AC218" s="4">
        <f t="shared" si="232"/>
        <v>99.877526975071319</v>
      </c>
    </row>
    <row r="219" spans="1:29" s="16" customFormat="1" ht="13.2" x14ac:dyDescent="0.25">
      <c r="A219" s="19" t="s">
        <v>277</v>
      </c>
      <c r="B219" s="7" t="s">
        <v>5</v>
      </c>
      <c r="C219" s="3" t="s">
        <v>278</v>
      </c>
      <c r="D219" s="4">
        <f t="shared" si="247"/>
        <v>15326</v>
      </c>
      <c r="E219" s="4">
        <f t="shared" si="247"/>
        <v>15326</v>
      </c>
      <c r="F219" s="4">
        <f t="shared" si="247"/>
        <v>15326</v>
      </c>
      <c r="G219" s="4">
        <f t="shared" si="247"/>
        <v>15326</v>
      </c>
      <c r="H219" s="4">
        <f t="shared" si="247"/>
        <v>16126</v>
      </c>
      <c r="I219" s="4">
        <f t="shared" si="247"/>
        <v>4020</v>
      </c>
      <c r="J219" s="4">
        <f t="shared" si="247"/>
        <v>0</v>
      </c>
      <c r="K219" s="4">
        <f t="shared" si="247"/>
        <v>3790</v>
      </c>
      <c r="L219" s="4">
        <f t="shared" si="247"/>
        <v>7810</v>
      </c>
      <c r="M219" s="4">
        <f t="shared" si="247"/>
        <v>1890</v>
      </c>
      <c r="N219" s="4">
        <f t="shared" si="247"/>
        <v>1306.25</v>
      </c>
      <c r="O219" s="4">
        <f t="shared" si="247"/>
        <v>1300</v>
      </c>
      <c r="P219" s="4">
        <f t="shared" si="247"/>
        <v>4496.25</v>
      </c>
      <c r="Q219" s="4">
        <f t="shared" si="183"/>
        <v>12306.25</v>
      </c>
      <c r="R219" s="4">
        <f t="shared" si="247"/>
        <v>1300</v>
      </c>
      <c r="S219" s="4">
        <f t="shared" si="247"/>
        <v>1250</v>
      </c>
      <c r="T219" s="4">
        <f t="shared" si="247"/>
        <v>1250</v>
      </c>
      <c r="U219" s="4">
        <f t="shared" si="242"/>
        <v>3800</v>
      </c>
      <c r="V219" s="4">
        <f t="shared" si="243"/>
        <v>16106.25</v>
      </c>
      <c r="W219" s="4">
        <f t="shared" si="248"/>
        <v>0</v>
      </c>
      <c r="X219" s="67">
        <f t="shared" si="248"/>
        <v>0</v>
      </c>
      <c r="Y219" s="4">
        <f t="shared" si="248"/>
        <v>0</v>
      </c>
      <c r="Z219" s="4">
        <f t="shared" si="245"/>
        <v>16106.25</v>
      </c>
      <c r="AA219" s="5">
        <f t="shared" si="249"/>
        <v>99.877526975071319</v>
      </c>
      <c r="AB219" s="4">
        <f t="shared" si="231"/>
        <v>-19.75</v>
      </c>
      <c r="AC219" s="4">
        <f t="shared" si="232"/>
        <v>99.877526975071319</v>
      </c>
    </row>
    <row r="220" spans="1:29" s="16" customFormat="1" ht="30.75" customHeight="1" x14ac:dyDescent="0.25">
      <c r="A220" s="1" t="s">
        <v>279</v>
      </c>
      <c r="B220" s="7" t="s">
        <v>87</v>
      </c>
      <c r="C220" s="3" t="s">
        <v>280</v>
      </c>
      <c r="D220" s="4">
        <v>15326</v>
      </c>
      <c r="E220" s="4">
        <v>15326</v>
      </c>
      <c r="F220" s="4">
        <v>15326</v>
      </c>
      <c r="G220" s="4">
        <v>15326</v>
      </c>
      <c r="H220" s="4">
        <v>16126</v>
      </c>
      <c r="I220" s="4">
        <v>4020</v>
      </c>
      <c r="J220" s="4">
        <v>0</v>
      </c>
      <c r="K220" s="4">
        <v>3790</v>
      </c>
      <c r="L220" s="4">
        <f>I220+J220+K220</f>
        <v>7810</v>
      </c>
      <c r="M220" s="4">
        <v>1890</v>
      </c>
      <c r="N220" s="4">
        <v>1306.25</v>
      </c>
      <c r="O220" s="4">
        <v>1300</v>
      </c>
      <c r="P220" s="4">
        <f>M220+N220+O220</f>
        <v>4496.25</v>
      </c>
      <c r="Q220" s="4">
        <f t="shared" si="183"/>
        <v>12306.25</v>
      </c>
      <c r="R220" s="4">
        <v>1300</v>
      </c>
      <c r="S220" s="4">
        <v>1250</v>
      </c>
      <c r="T220" s="4">
        <v>1250</v>
      </c>
      <c r="U220" s="4">
        <f t="shared" si="242"/>
        <v>3800</v>
      </c>
      <c r="V220" s="4">
        <f t="shared" si="243"/>
        <v>16106.25</v>
      </c>
      <c r="W220" s="4">
        <v>0</v>
      </c>
      <c r="X220" s="67">
        <v>0</v>
      </c>
      <c r="Y220" s="4">
        <v>0</v>
      </c>
      <c r="Z220" s="4">
        <f t="shared" si="245"/>
        <v>16106.25</v>
      </c>
      <c r="AA220" s="5">
        <f t="shared" si="249"/>
        <v>99.877526975071319</v>
      </c>
      <c r="AB220" s="4">
        <f t="shared" si="231"/>
        <v>-19.75</v>
      </c>
      <c r="AC220" s="4">
        <f t="shared" si="232"/>
        <v>99.877526975071319</v>
      </c>
    </row>
    <row r="221" spans="1:29" s="91" customFormat="1" ht="13.2" x14ac:dyDescent="0.25">
      <c r="A221" s="97" t="s">
        <v>281</v>
      </c>
      <c r="B221" s="93" t="s">
        <v>5</v>
      </c>
      <c r="C221" s="94" t="s">
        <v>282</v>
      </c>
      <c r="D221" s="67">
        <f>+D222+D296+D302</f>
        <v>2002581375.8199999</v>
      </c>
      <c r="E221" s="67">
        <f>+E222+E296+E302</f>
        <v>2032272699.3</v>
      </c>
      <c r="F221" s="67">
        <f>+F222+F296+F302</f>
        <v>2036448699.3</v>
      </c>
      <c r="G221" s="67">
        <f t="shared" ref="G221:T221" si="250">+G222+G296+G302+G294</f>
        <v>2051530942.3</v>
      </c>
      <c r="H221" s="67">
        <f t="shared" si="250"/>
        <v>2476520566.553</v>
      </c>
      <c r="I221" s="67">
        <f t="shared" si="250"/>
        <v>144634902.29999998</v>
      </c>
      <c r="J221" s="67">
        <f t="shared" si="250"/>
        <v>157697440.34</v>
      </c>
      <c r="K221" s="67">
        <f t="shared" si="250"/>
        <v>320926757.94</v>
      </c>
      <c r="L221" s="67">
        <f t="shared" si="250"/>
        <v>623259100.58000004</v>
      </c>
      <c r="M221" s="67">
        <f t="shared" si="250"/>
        <v>157493338.31999999</v>
      </c>
      <c r="N221" s="67">
        <f t="shared" si="250"/>
        <v>230927176.28999999</v>
      </c>
      <c r="O221" s="67">
        <f t="shared" si="250"/>
        <v>212993744.01699999</v>
      </c>
      <c r="P221" s="67">
        <f t="shared" si="250"/>
        <v>601414258.62700009</v>
      </c>
      <c r="Q221" s="67">
        <f t="shared" si="250"/>
        <v>1224673359.207</v>
      </c>
      <c r="R221" s="67">
        <f t="shared" si="250"/>
        <v>171827343.96000001</v>
      </c>
      <c r="S221" s="67">
        <f t="shared" si="250"/>
        <v>111799451.54999998</v>
      </c>
      <c r="T221" s="67">
        <f t="shared" si="250"/>
        <v>139877197.67999998</v>
      </c>
      <c r="U221" s="67">
        <f t="shared" si="242"/>
        <v>423503993.18999994</v>
      </c>
      <c r="V221" s="67">
        <f t="shared" si="243"/>
        <v>1648177352.3970003</v>
      </c>
      <c r="W221" s="67">
        <f>+W222+W296+W302+W294</f>
        <v>266583518.33000001</v>
      </c>
      <c r="X221" s="67">
        <f>+X222+X296+X302+X294</f>
        <v>142406676.72</v>
      </c>
      <c r="Y221" s="67">
        <f>+Y222+Y296+Y302+Y294</f>
        <v>342096180.40999997</v>
      </c>
      <c r="Z221" s="67">
        <f t="shared" si="245"/>
        <v>2399263727.8570004</v>
      </c>
      <c r="AA221" s="69">
        <f t="shared" si="249"/>
        <v>66.552136681467275</v>
      </c>
      <c r="AB221" s="67">
        <f t="shared" si="231"/>
        <v>-77256838.695999622</v>
      </c>
      <c r="AC221" s="4">
        <f t="shared" si="232"/>
        <v>96.880428140214022</v>
      </c>
    </row>
    <row r="222" spans="1:29" s="91" customFormat="1" ht="26.4" x14ac:dyDescent="0.25">
      <c r="A222" s="101" t="s">
        <v>283</v>
      </c>
      <c r="B222" s="93" t="s">
        <v>5</v>
      </c>
      <c r="C222" s="94" t="s">
        <v>284</v>
      </c>
      <c r="D222" s="67">
        <f t="shared" ref="D222:T222" si="251">+D262+D223+D228+D286</f>
        <v>2002581375.8199999</v>
      </c>
      <c r="E222" s="67">
        <f t="shared" si="251"/>
        <v>2034584519.8199999</v>
      </c>
      <c r="F222" s="67">
        <f t="shared" si="251"/>
        <v>2038760519.8199999</v>
      </c>
      <c r="G222" s="67">
        <f t="shared" si="251"/>
        <v>2053842762.8199999</v>
      </c>
      <c r="H222" s="67">
        <f t="shared" si="251"/>
        <v>2475422387.073</v>
      </c>
      <c r="I222" s="67">
        <f t="shared" si="251"/>
        <v>146923915.31</v>
      </c>
      <c r="J222" s="67">
        <f t="shared" si="251"/>
        <v>157716083.94999999</v>
      </c>
      <c r="K222" s="67">
        <f t="shared" si="251"/>
        <v>320933586.77999997</v>
      </c>
      <c r="L222" s="67">
        <f t="shared" si="251"/>
        <v>625573586.03999996</v>
      </c>
      <c r="M222" s="67">
        <f t="shared" si="251"/>
        <v>157384055.72999999</v>
      </c>
      <c r="N222" s="67">
        <f t="shared" si="251"/>
        <v>230959751.66</v>
      </c>
      <c r="O222" s="67">
        <f t="shared" si="251"/>
        <v>210958080.34999999</v>
      </c>
      <c r="P222" s="67">
        <f t="shared" si="251"/>
        <v>599301887.74000013</v>
      </c>
      <c r="Q222" s="67">
        <f t="shared" si="251"/>
        <v>1224875473.78</v>
      </c>
      <c r="R222" s="67">
        <f t="shared" si="251"/>
        <v>171845471.69</v>
      </c>
      <c r="S222" s="67">
        <f t="shared" si="251"/>
        <v>111479178.38999999</v>
      </c>
      <c r="T222" s="67">
        <f t="shared" si="251"/>
        <v>139628984.52999997</v>
      </c>
      <c r="U222" s="67">
        <f t="shared" si="242"/>
        <v>422953634.60999995</v>
      </c>
      <c r="V222" s="67">
        <f t="shared" si="243"/>
        <v>1647829108.3900001</v>
      </c>
      <c r="W222" s="67">
        <f>+W262+W223+W228+W286</f>
        <v>266623277.28000003</v>
      </c>
      <c r="X222" s="67">
        <f>+X262+X223+X228+X286</f>
        <v>142214666.28</v>
      </c>
      <c r="Y222" s="67">
        <f>+Y262+Y223+Y228+Y286</f>
        <v>341153698.87</v>
      </c>
      <c r="Z222" s="67">
        <f t="shared" si="245"/>
        <v>2397820750.8200002</v>
      </c>
      <c r="AA222" s="69">
        <f t="shared" si="249"/>
        <v>66.567593352762458</v>
      </c>
      <c r="AB222" s="67">
        <f t="shared" si="231"/>
        <v>-77601636.252999783</v>
      </c>
      <c r="AC222" s="4">
        <f t="shared" si="232"/>
        <v>96.865115357352892</v>
      </c>
    </row>
    <row r="223" spans="1:29" s="16" customFormat="1" ht="17.399999999999999" customHeight="1" x14ac:dyDescent="0.25">
      <c r="A223" s="102" t="s">
        <v>285</v>
      </c>
      <c r="B223" s="7" t="s">
        <v>5</v>
      </c>
      <c r="C223" s="3" t="s">
        <v>286</v>
      </c>
      <c r="D223" s="4">
        <f>+D224</f>
        <v>110554600</v>
      </c>
      <c r="E223" s="4">
        <f>+E224+E226</f>
        <v>133941000</v>
      </c>
      <c r="F223" s="4">
        <f>+F224+F226</f>
        <v>133941000</v>
      </c>
      <c r="G223" s="4">
        <f>+G224+G226</f>
        <v>133941000</v>
      </c>
      <c r="H223" s="4">
        <f>+H224+H226</f>
        <v>224395800</v>
      </c>
      <c r="I223" s="4">
        <f>+I224+I226</f>
        <v>9212900</v>
      </c>
      <c r="J223" s="4">
        <f t="shared" ref="J223:T223" si="252">+J224+J226</f>
        <v>9212900</v>
      </c>
      <c r="K223" s="4">
        <f t="shared" si="252"/>
        <v>27638650</v>
      </c>
      <c r="L223" s="4">
        <f t="shared" si="252"/>
        <v>46064450</v>
      </c>
      <c r="M223" s="4">
        <f t="shared" si="252"/>
        <v>12363500</v>
      </c>
      <c r="N223" s="4">
        <f t="shared" si="252"/>
        <v>10788100</v>
      </c>
      <c r="O223" s="4">
        <f t="shared" si="252"/>
        <v>10784000</v>
      </c>
      <c r="P223" s="4">
        <f t="shared" si="252"/>
        <v>33935600</v>
      </c>
      <c r="Q223" s="4">
        <f t="shared" si="252"/>
        <v>80000050</v>
      </c>
      <c r="R223" s="4">
        <f t="shared" si="252"/>
        <v>21576366.600000001</v>
      </c>
      <c r="S223" s="4">
        <f t="shared" si="252"/>
        <v>10788133.399999999</v>
      </c>
      <c r="T223" s="4">
        <f t="shared" si="252"/>
        <v>18638550</v>
      </c>
      <c r="U223" s="4">
        <f t="shared" si="242"/>
        <v>51003050</v>
      </c>
      <c r="V223" s="4">
        <f t="shared" si="243"/>
        <v>131003100</v>
      </c>
      <c r="W223" s="4">
        <f t="shared" ref="W223:Y223" si="253">+W224+W226</f>
        <v>14708400</v>
      </c>
      <c r="X223" s="67">
        <f t="shared" si="253"/>
        <v>17418500</v>
      </c>
      <c r="Y223" s="4">
        <f t="shared" si="253"/>
        <v>61265800</v>
      </c>
      <c r="Z223" s="4">
        <f t="shared" si="245"/>
        <v>224395800</v>
      </c>
      <c r="AA223" s="5">
        <f t="shared" si="249"/>
        <v>58.380370755602371</v>
      </c>
      <c r="AB223" s="4">
        <f t="shared" si="231"/>
        <v>0</v>
      </c>
      <c r="AC223" s="4">
        <f t="shared" si="232"/>
        <v>100</v>
      </c>
    </row>
    <row r="224" spans="1:29" s="16" customFormat="1" ht="16.8" customHeight="1" x14ac:dyDescent="0.25">
      <c r="A224" s="32" t="s">
        <v>287</v>
      </c>
      <c r="B224" s="7" t="s">
        <v>5</v>
      </c>
      <c r="C224" s="23" t="s">
        <v>288</v>
      </c>
      <c r="D224" s="4">
        <f>+D225</f>
        <v>110554600</v>
      </c>
      <c r="E224" s="4">
        <f>+E225</f>
        <v>110554600</v>
      </c>
      <c r="F224" s="4">
        <f>+F225</f>
        <v>110554600</v>
      </c>
      <c r="G224" s="4">
        <f>+G225</f>
        <v>110554600</v>
      </c>
      <c r="H224" s="4">
        <f>+H225</f>
        <v>110554600</v>
      </c>
      <c r="I224" s="4">
        <f>+I225</f>
        <v>9212900</v>
      </c>
      <c r="J224" s="4">
        <f t="shared" ref="J224:T226" si="254">+J225</f>
        <v>9212900</v>
      </c>
      <c r="K224" s="4">
        <f t="shared" si="254"/>
        <v>27638650</v>
      </c>
      <c r="L224" s="4">
        <f t="shared" si="254"/>
        <v>46064450</v>
      </c>
      <c r="M224" s="4">
        <f t="shared" si="254"/>
        <v>9212900</v>
      </c>
      <c r="N224" s="4">
        <f t="shared" si="254"/>
        <v>9212850</v>
      </c>
      <c r="O224" s="4">
        <f t="shared" si="254"/>
        <v>10784000</v>
      </c>
      <c r="P224" s="4">
        <f t="shared" si="254"/>
        <v>29209750</v>
      </c>
      <c r="Q224" s="4">
        <f t="shared" si="183"/>
        <v>75274200</v>
      </c>
      <c r="R224" s="4">
        <f t="shared" si="254"/>
        <v>18425783.300000001</v>
      </c>
      <c r="S224" s="4">
        <f t="shared" si="254"/>
        <v>9212866.6999999993</v>
      </c>
      <c r="T224" s="4">
        <f t="shared" si="254"/>
        <v>7641750</v>
      </c>
      <c r="U224" s="4">
        <f t="shared" si="242"/>
        <v>35280400</v>
      </c>
      <c r="V224" s="4">
        <f t="shared" si="243"/>
        <v>110554600</v>
      </c>
      <c r="W224" s="4">
        <f t="shared" ref="W224:Y226" si="255">+W225</f>
        <v>0</v>
      </c>
      <c r="X224" s="67">
        <f t="shared" si="255"/>
        <v>0</v>
      </c>
      <c r="Y224" s="4">
        <f t="shared" si="255"/>
        <v>0</v>
      </c>
      <c r="Z224" s="4">
        <f t="shared" si="245"/>
        <v>110554600</v>
      </c>
      <c r="AA224" s="5">
        <f t="shared" si="249"/>
        <v>100</v>
      </c>
      <c r="AB224" s="4">
        <f t="shared" si="231"/>
        <v>0</v>
      </c>
      <c r="AC224" s="4">
        <f t="shared" si="232"/>
        <v>100</v>
      </c>
    </row>
    <row r="225" spans="1:29" s="16" customFormat="1" ht="33.6" customHeight="1" x14ac:dyDescent="0.25">
      <c r="A225" s="32" t="s">
        <v>289</v>
      </c>
      <c r="B225" s="7" t="s">
        <v>290</v>
      </c>
      <c r="C225" s="3" t="s">
        <v>291</v>
      </c>
      <c r="D225" s="4">
        <v>110554600</v>
      </c>
      <c r="E225" s="4">
        <v>110554600</v>
      </c>
      <c r="F225" s="4">
        <v>110554600</v>
      </c>
      <c r="G225" s="4">
        <v>110554600</v>
      </c>
      <c r="H225" s="4">
        <v>110554600</v>
      </c>
      <c r="I225" s="4">
        <v>9212900</v>
      </c>
      <c r="J225" s="4">
        <v>9212900</v>
      </c>
      <c r="K225" s="4">
        <v>27638650</v>
      </c>
      <c r="L225" s="4">
        <f>I225+J225+K225</f>
        <v>46064450</v>
      </c>
      <c r="M225" s="4">
        <v>9212900</v>
      </c>
      <c r="N225" s="4">
        <v>9212850</v>
      </c>
      <c r="O225" s="4">
        <v>10784000</v>
      </c>
      <c r="P225" s="4">
        <f>M225+N225+O225</f>
        <v>29209750</v>
      </c>
      <c r="Q225" s="4">
        <f t="shared" si="183"/>
        <v>75274200</v>
      </c>
      <c r="R225" s="4">
        <v>18425783.300000001</v>
      </c>
      <c r="S225" s="4">
        <v>9212866.6999999993</v>
      </c>
      <c r="T225" s="4">
        <v>7641750</v>
      </c>
      <c r="U225" s="4">
        <f t="shared" si="242"/>
        <v>35280400</v>
      </c>
      <c r="V225" s="4">
        <f t="shared" si="243"/>
        <v>110554600</v>
      </c>
      <c r="W225" s="4">
        <v>0</v>
      </c>
      <c r="X225" s="67">
        <v>0</v>
      </c>
      <c r="Y225" s="4">
        <v>0</v>
      </c>
      <c r="Z225" s="4">
        <f t="shared" si="245"/>
        <v>110554600</v>
      </c>
      <c r="AA225" s="5">
        <f t="shared" si="249"/>
        <v>100</v>
      </c>
      <c r="AB225" s="4">
        <f t="shared" si="231"/>
        <v>0</v>
      </c>
      <c r="AC225" s="4">
        <f t="shared" si="232"/>
        <v>100</v>
      </c>
    </row>
    <row r="226" spans="1:29" s="16" customFormat="1" ht="26.4" x14ac:dyDescent="0.25">
      <c r="A226" s="32" t="s">
        <v>497</v>
      </c>
      <c r="B226" s="7" t="s">
        <v>5</v>
      </c>
      <c r="C226" s="23" t="s">
        <v>568</v>
      </c>
      <c r="D226" s="4">
        <f t="shared" ref="D226:I226" si="256">+D227</f>
        <v>110554600</v>
      </c>
      <c r="E226" s="4">
        <f t="shared" si="256"/>
        <v>23386400</v>
      </c>
      <c r="F226" s="4">
        <f t="shared" si="256"/>
        <v>23386400</v>
      </c>
      <c r="G226" s="4">
        <f t="shared" si="256"/>
        <v>23386400</v>
      </c>
      <c r="H226" s="4">
        <f t="shared" si="256"/>
        <v>113841200</v>
      </c>
      <c r="I226" s="4">
        <f t="shared" si="256"/>
        <v>0</v>
      </c>
      <c r="J226" s="4">
        <f t="shared" si="254"/>
        <v>0</v>
      </c>
      <c r="K226" s="4">
        <f t="shared" si="254"/>
        <v>0</v>
      </c>
      <c r="L226" s="4">
        <f t="shared" si="254"/>
        <v>0</v>
      </c>
      <c r="M226" s="4">
        <f t="shared" si="254"/>
        <v>3150600</v>
      </c>
      <c r="N226" s="4">
        <f t="shared" si="254"/>
        <v>1575250</v>
      </c>
      <c r="O226" s="4">
        <f t="shared" si="254"/>
        <v>0</v>
      </c>
      <c r="P226" s="4">
        <f t="shared" si="254"/>
        <v>4725850</v>
      </c>
      <c r="Q226" s="4">
        <f t="shared" si="183"/>
        <v>4725850</v>
      </c>
      <c r="R226" s="4">
        <f t="shared" si="254"/>
        <v>3150583.3</v>
      </c>
      <c r="S226" s="4">
        <f t="shared" si="254"/>
        <v>1575266.7</v>
      </c>
      <c r="T226" s="4">
        <f t="shared" si="254"/>
        <v>10996800</v>
      </c>
      <c r="U226" s="4">
        <f t="shared" si="242"/>
        <v>15722650</v>
      </c>
      <c r="V226" s="4">
        <f t="shared" si="243"/>
        <v>20448500</v>
      </c>
      <c r="W226" s="4">
        <f t="shared" si="255"/>
        <v>14708400</v>
      </c>
      <c r="X226" s="67">
        <f t="shared" si="255"/>
        <v>17418500</v>
      </c>
      <c r="Y226" s="4">
        <f t="shared" si="255"/>
        <v>61265800</v>
      </c>
      <c r="Z226" s="4">
        <f t="shared" si="245"/>
        <v>113841200</v>
      </c>
      <c r="AA226" s="5">
        <f t="shared" si="249"/>
        <v>17.962301873135562</v>
      </c>
      <c r="AB226" s="4">
        <f t="shared" si="231"/>
        <v>0</v>
      </c>
      <c r="AC226" s="4">
        <f t="shared" si="232"/>
        <v>100</v>
      </c>
    </row>
    <row r="227" spans="1:29" s="16" customFormat="1" ht="26.4" x14ac:dyDescent="0.25">
      <c r="A227" s="32" t="s">
        <v>498</v>
      </c>
      <c r="B227" s="7" t="s">
        <v>290</v>
      </c>
      <c r="C227" s="3" t="s">
        <v>496</v>
      </c>
      <c r="D227" s="4">
        <v>110554600</v>
      </c>
      <c r="E227" s="4">
        <v>23386400</v>
      </c>
      <c r="F227" s="4">
        <v>23386400</v>
      </c>
      <c r="G227" s="4">
        <v>23386400</v>
      </c>
      <c r="H227" s="4">
        <v>113841200</v>
      </c>
      <c r="I227" s="4">
        <v>0</v>
      </c>
      <c r="J227" s="4"/>
      <c r="K227" s="4"/>
      <c r="L227" s="4">
        <f>I227+J227+K227</f>
        <v>0</v>
      </c>
      <c r="M227" s="4">
        <f>1575300*2</f>
        <v>3150600</v>
      </c>
      <c r="N227" s="4">
        <v>1575250</v>
      </c>
      <c r="O227" s="4"/>
      <c r="P227" s="4">
        <f>M227+N227+O227</f>
        <v>4725850</v>
      </c>
      <c r="Q227" s="4">
        <f t="shared" si="183"/>
        <v>4725850</v>
      </c>
      <c r="R227" s="4">
        <v>3150583.3</v>
      </c>
      <c r="S227" s="4">
        <v>1575266.7</v>
      </c>
      <c r="T227" s="4">
        <f>3930200+7066600</f>
        <v>10996800</v>
      </c>
      <c r="U227" s="4">
        <f t="shared" si="242"/>
        <v>15722650</v>
      </c>
      <c r="V227" s="4">
        <f t="shared" si="243"/>
        <v>20448500</v>
      </c>
      <c r="W227" s="4">
        <v>14708400</v>
      </c>
      <c r="X227" s="67">
        <v>17418500</v>
      </c>
      <c r="Y227" s="4">
        <f>32137000+29128800</f>
        <v>61265800</v>
      </c>
      <c r="Z227" s="4">
        <f t="shared" si="245"/>
        <v>113841200</v>
      </c>
      <c r="AA227" s="5">
        <f t="shared" si="249"/>
        <v>17.962301873135562</v>
      </c>
      <c r="AB227" s="4">
        <f t="shared" si="231"/>
        <v>0</v>
      </c>
      <c r="AC227" s="4">
        <f t="shared" si="232"/>
        <v>100</v>
      </c>
    </row>
    <row r="228" spans="1:29" s="16" customFormat="1" ht="26.4" x14ac:dyDescent="0.25">
      <c r="A228" s="1" t="s">
        <v>292</v>
      </c>
      <c r="B228" s="7" t="s">
        <v>5</v>
      </c>
      <c r="C228" s="7" t="s">
        <v>293</v>
      </c>
      <c r="D228" s="4">
        <f t="shared" ref="D228:G228" si="257">+D235+D243+D241+D233+D237</f>
        <v>314566175.81999999</v>
      </c>
      <c r="E228" s="4">
        <f t="shared" si="257"/>
        <v>323182919.81999999</v>
      </c>
      <c r="F228" s="4">
        <f t="shared" si="257"/>
        <v>327358919.81999999</v>
      </c>
      <c r="G228" s="4">
        <f t="shared" si="257"/>
        <v>327765662.81999999</v>
      </c>
      <c r="H228" s="4">
        <f>+H235+H243+H241+H233+H237+H229+H239+H231</f>
        <v>367296787.07300001</v>
      </c>
      <c r="I228" s="4">
        <f t="shared" ref="I228:Z228" si="258">+I235+I243+I241+I233+I237+I229+I239+I231</f>
        <v>10211800</v>
      </c>
      <c r="J228" s="4">
        <f t="shared" si="258"/>
        <v>14005706.52</v>
      </c>
      <c r="K228" s="4">
        <f t="shared" si="258"/>
        <v>40278267.259999998</v>
      </c>
      <c r="L228" s="4">
        <f t="shared" si="258"/>
        <v>64495773.780000001</v>
      </c>
      <c r="M228" s="4">
        <f t="shared" si="258"/>
        <v>26600.01</v>
      </c>
      <c r="N228" s="4">
        <f t="shared" si="258"/>
        <v>37968627.75</v>
      </c>
      <c r="O228" s="4">
        <f t="shared" si="258"/>
        <v>12866050.630000001</v>
      </c>
      <c r="P228" s="4">
        <f t="shared" si="258"/>
        <v>50861278.390000001</v>
      </c>
      <c r="Q228" s="4">
        <f t="shared" si="258"/>
        <v>115357052.17000002</v>
      </c>
      <c r="R228" s="4">
        <f t="shared" si="258"/>
        <v>16268150.09</v>
      </c>
      <c r="S228" s="4">
        <f t="shared" si="258"/>
        <v>20182680.82</v>
      </c>
      <c r="T228" s="4">
        <f t="shared" si="258"/>
        <v>35870512.649999999</v>
      </c>
      <c r="U228" s="4">
        <f t="shared" si="258"/>
        <v>72321343.560000002</v>
      </c>
      <c r="V228" s="4">
        <f t="shared" si="258"/>
        <v>187678395.73000002</v>
      </c>
      <c r="W228" s="4">
        <f t="shared" si="258"/>
        <v>21357963.670000002</v>
      </c>
      <c r="X228" s="4">
        <f t="shared" si="258"/>
        <v>23646885.850000001</v>
      </c>
      <c r="Y228" s="4">
        <f t="shared" si="258"/>
        <v>60554125.450000003</v>
      </c>
      <c r="Z228" s="4">
        <f t="shared" si="258"/>
        <v>293237370.69999999</v>
      </c>
      <c r="AA228" s="5">
        <f t="shared" si="249"/>
        <v>51.097205947706549</v>
      </c>
      <c r="AB228" s="4">
        <f t="shared" si="231"/>
        <v>-74059416.373000026</v>
      </c>
      <c r="AC228" s="4">
        <f t="shared" si="232"/>
        <v>79.836628312710843</v>
      </c>
    </row>
    <row r="229" spans="1:29" s="16" customFormat="1" ht="52.8" x14ac:dyDescent="0.25">
      <c r="A229" s="1" t="s">
        <v>539</v>
      </c>
      <c r="B229" s="7" t="s">
        <v>5</v>
      </c>
      <c r="C229" s="7" t="s">
        <v>538</v>
      </c>
      <c r="D229" s="4">
        <f t="shared" ref="D229:S233" si="259">+D230</f>
        <v>59865900</v>
      </c>
      <c r="E229" s="4">
        <f t="shared" si="259"/>
        <v>59865900</v>
      </c>
      <c r="F229" s="4">
        <f t="shared" si="259"/>
        <v>59865900</v>
      </c>
      <c r="G229" s="4">
        <f t="shared" si="259"/>
        <v>59865900</v>
      </c>
      <c r="H229" s="4">
        <f t="shared" si="259"/>
        <v>102991</v>
      </c>
      <c r="I229" s="4">
        <f t="shared" si="259"/>
        <v>0</v>
      </c>
      <c r="J229" s="4">
        <f t="shared" si="259"/>
        <v>0</v>
      </c>
      <c r="K229" s="4">
        <f t="shared" si="259"/>
        <v>0</v>
      </c>
      <c r="L229" s="4">
        <f t="shared" si="259"/>
        <v>0</v>
      </c>
      <c r="M229" s="4">
        <f t="shared" si="259"/>
        <v>0</v>
      </c>
      <c r="N229" s="4">
        <f t="shared" si="259"/>
        <v>0</v>
      </c>
      <c r="O229" s="4">
        <f t="shared" si="259"/>
        <v>0</v>
      </c>
      <c r="P229" s="4">
        <f t="shared" si="259"/>
        <v>0</v>
      </c>
      <c r="Q229" s="4">
        <f>L229+P229</f>
        <v>0</v>
      </c>
      <c r="R229" s="4">
        <f t="shared" si="259"/>
        <v>0</v>
      </c>
      <c r="S229" s="4">
        <f t="shared" si="259"/>
        <v>0</v>
      </c>
      <c r="T229" s="4">
        <f t="shared" ref="T229:T231" si="260">+T230</f>
        <v>0</v>
      </c>
      <c r="U229" s="4">
        <f t="shared" si="242"/>
        <v>0</v>
      </c>
      <c r="V229" s="4">
        <f t="shared" si="243"/>
        <v>0</v>
      </c>
      <c r="W229" s="4">
        <f t="shared" ref="W229:Y233" si="261">+W230</f>
        <v>102991</v>
      </c>
      <c r="X229" s="67">
        <f t="shared" si="261"/>
        <v>0</v>
      </c>
      <c r="Y229" s="4">
        <f t="shared" si="261"/>
        <v>0</v>
      </c>
      <c r="Z229" s="4">
        <f t="shared" si="245"/>
        <v>102991</v>
      </c>
      <c r="AA229" s="5">
        <f t="shared" si="249"/>
        <v>0</v>
      </c>
      <c r="AB229" s="4">
        <f t="shared" si="231"/>
        <v>0</v>
      </c>
      <c r="AC229" s="4">
        <f t="shared" si="232"/>
        <v>100</v>
      </c>
    </row>
    <row r="230" spans="1:29" s="16" customFormat="1" ht="59.4" customHeight="1" x14ac:dyDescent="0.25">
      <c r="A230" s="1" t="s">
        <v>540</v>
      </c>
      <c r="B230" s="7" t="s">
        <v>312</v>
      </c>
      <c r="C230" s="7" t="s">
        <v>537</v>
      </c>
      <c r="D230" s="4">
        <v>59865900</v>
      </c>
      <c r="E230" s="4">
        <v>59865900</v>
      </c>
      <c r="F230" s="4">
        <v>59865900</v>
      </c>
      <c r="G230" s="4">
        <v>59865900</v>
      </c>
      <c r="H230" s="4">
        <v>102991</v>
      </c>
      <c r="I230" s="4">
        <v>0</v>
      </c>
      <c r="J230" s="4"/>
      <c r="K230" s="4"/>
      <c r="L230" s="4">
        <f>I230+J230+K230</f>
        <v>0</v>
      </c>
      <c r="M230" s="4"/>
      <c r="N230" s="4"/>
      <c r="O230" s="4"/>
      <c r="P230" s="4">
        <f>M230+N230+O230</f>
        <v>0</v>
      </c>
      <c r="Q230" s="4">
        <f>L230+P230</f>
        <v>0</v>
      </c>
      <c r="R230" s="4"/>
      <c r="S230" s="4"/>
      <c r="T230" s="4">
        <v>0</v>
      </c>
      <c r="U230" s="4">
        <f t="shared" si="242"/>
        <v>0</v>
      </c>
      <c r="V230" s="4">
        <f t="shared" si="243"/>
        <v>0</v>
      </c>
      <c r="W230" s="4">
        <v>102991</v>
      </c>
      <c r="X230" s="67">
        <v>0</v>
      </c>
      <c r="Y230" s="4">
        <v>0</v>
      </c>
      <c r="Z230" s="4">
        <f t="shared" si="245"/>
        <v>102991</v>
      </c>
      <c r="AA230" s="5">
        <f t="shared" si="249"/>
        <v>0</v>
      </c>
      <c r="AB230" s="4">
        <f t="shared" si="231"/>
        <v>0</v>
      </c>
      <c r="AC230" s="4">
        <f t="shared" si="232"/>
        <v>100</v>
      </c>
    </row>
    <row r="231" spans="1:29" s="16" customFormat="1" ht="29.4" customHeight="1" x14ac:dyDescent="0.25">
      <c r="A231" s="99" t="s">
        <v>596</v>
      </c>
      <c r="B231" s="7" t="s">
        <v>5</v>
      </c>
      <c r="C231" s="7" t="s">
        <v>577</v>
      </c>
      <c r="D231" s="4">
        <f t="shared" si="259"/>
        <v>59865900</v>
      </c>
      <c r="E231" s="4">
        <f t="shared" si="259"/>
        <v>59865900</v>
      </c>
      <c r="F231" s="4">
        <f t="shared" si="259"/>
        <v>59865900</v>
      </c>
      <c r="G231" s="4">
        <f t="shared" si="259"/>
        <v>59865900</v>
      </c>
      <c r="H231" s="4">
        <f t="shared" si="259"/>
        <v>1130166.5</v>
      </c>
      <c r="I231" s="4">
        <f t="shared" si="259"/>
        <v>0</v>
      </c>
      <c r="J231" s="4">
        <f t="shared" si="259"/>
        <v>0</v>
      </c>
      <c r="K231" s="4">
        <f t="shared" si="259"/>
        <v>0</v>
      </c>
      <c r="L231" s="4">
        <f t="shared" si="259"/>
        <v>0</v>
      </c>
      <c r="M231" s="4">
        <f t="shared" si="259"/>
        <v>0</v>
      </c>
      <c r="N231" s="4">
        <f t="shared" si="259"/>
        <v>0</v>
      </c>
      <c r="O231" s="4">
        <f t="shared" si="259"/>
        <v>0</v>
      </c>
      <c r="P231" s="4">
        <f t="shared" si="259"/>
        <v>0</v>
      </c>
      <c r="Q231" s="4">
        <f>L231+P231</f>
        <v>0</v>
      </c>
      <c r="R231" s="4">
        <f t="shared" si="259"/>
        <v>0</v>
      </c>
      <c r="S231" s="4">
        <f t="shared" si="259"/>
        <v>0</v>
      </c>
      <c r="T231" s="4">
        <f t="shared" si="260"/>
        <v>0</v>
      </c>
      <c r="U231" s="4">
        <f t="shared" si="242"/>
        <v>0</v>
      </c>
      <c r="V231" s="4">
        <f t="shared" si="243"/>
        <v>0</v>
      </c>
      <c r="W231" s="4">
        <f t="shared" si="261"/>
        <v>0</v>
      </c>
      <c r="X231" s="67">
        <f t="shared" si="261"/>
        <v>0</v>
      </c>
      <c r="Y231" s="4">
        <f t="shared" si="261"/>
        <v>1128133.67</v>
      </c>
      <c r="Z231" s="4">
        <f t="shared" si="245"/>
        <v>1128133.67</v>
      </c>
      <c r="AA231" s="5">
        <f t="shared" si="249"/>
        <v>0</v>
      </c>
      <c r="AB231" s="4">
        <f t="shared" si="231"/>
        <v>-2032.8300000000745</v>
      </c>
      <c r="AC231" s="4">
        <f t="shared" si="232"/>
        <v>99.820130042785721</v>
      </c>
    </row>
    <row r="232" spans="1:29" s="16" customFormat="1" ht="30.6" customHeight="1" x14ac:dyDescent="0.25">
      <c r="A232" s="99" t="s">
        <v>597</v>
      </c>
      <c r="B232" s="7" t="s">
        <v>92</v>
      </c>
      <c r="C232" s="7" t="s">
        <v>576</v>
      </c>
      <c r="D232" s="4">
        <v>59865900</v>
      </c>
      <c r="E232" s="4">
        <v>59865900</v>
      </c>
      <c r="F232" s="4">
        <v>59865900</v>
      </c>
      <c r="G232" s="4">
        <v>59865900</v>
      </c>
      <c r="H232" s="4">
        <v>1130166.5</v>
      </c>
      <c r="I232" s="4">
        <v>0</v>
      </c>
      <c r="J232" s="4"/>
      <c r="K232" s="4"/>
      <c r="L232" s="4">
        <f>I232+J232+K232</f>
        <v>0</v>
      </c>
      <c r="M232" s="4"/>
      <c r="N232" s="4"/>
      <c r="O232" s="4"/>
      <c r="P232" s="4">
        <f>M232+N232+O232</f>
        <v>0</v>
      </c>
      <c r="Q232" s="4">
        <f>L232+P232</f>
        <v>0</v>
      </c>
      <c r="R232" s="4"/>
      <c r="S232" s="4"/>
      <c r="T232" s="4"/>
      <c r="U232" s="4">
        <f t="shared" si="242"/>
        <v>0</v>
      </c>
      <c r="V232" s="4">
        <f t="shared" si="243"/>
        <v>0</v>
      </c>
      <c r="W232" s="4"/>
      <c r="X232" s="67"/>
      <c r="Y232" s="4">
        <v>1128133.67</v>
      </c>
      <c r="Z232" s="4">
        <f t="shared" si="245"/>
        <v>1128133.67</v>
      </c>
      <c r="AA232" s="5">
        <f t="shared" si="249"/>
        <v>0</v>
      </c>
      <c r="AB232" s="4">
        <f t="shared" si="231"/>
        <v>-2032.8300000000745</v>
      </c>
      <c r="AC232" s="4">
        <f t="shared" si="232"/>
        <v>99.820130042785721</v>
      </c>
    </row>
    <row r="233" spans="1:29" s="16" customFormat="1" ht="39.6" x14ac:dyDescent="0.25">
      <c r="A233" s="1" t="s">
        <v>550</v>
      </c>
      <c r="B233" s="7" t="s">
        <v>5</v>
      </c>
      <c r="C233" s="7" t="s">
        <v>294</v>
      </c>
      <c r="D233" s="4">
        <f t="shared" si="259"/>
        <v>59865900</v>
      </c>
      <c r="E233" s="4">
        <f t="shared" si="259"/>
        <v>59865900</v>
      </c>
      <c r="F233" s="4">
        <f t="shared" si="259"/>
        <v>59865900</v>
      </c>
      <c r="G233" s="4">
        <f t="shared" si="259"/>
        <v>59865900</v>
      </c>
      <c r="H233" s="4">
        <f t="shared" si="259"/>
        <v>59865900</v>
      </c>
      <c r="I233" s="4">
        <f t="shared" si="259"/>
        <v>0</v>
      </c>
      <c r="J233" s="4">
        <f t="shared" si="259"/>
        <v>3370944.37</v>
      </c>
      <c r="K233" s="4">
        <f t="shared" si="259"/>
        <v>11538591.43</v>
      </c>
      <c r="L233" s="4">
        <f t="shared" si="259"/>
        <v>14909535.800000001</v>
      </c>
      <c r="M233" s="4">
        <f t="shared" si="259"/>
        <v>0.01</v>
      </c>
      <c r="N233" s="4">
        <f t="shared" si="259"/>
        <v>3064951.42</v>
      </c>
      <c r="O233" s="4">
        <f t="shared" si="259"/>
        <v>2096752.65</v>
      </c>
      <c r="P233" s="4">
        <f t="shared" si="259"/>
        <v>5161704.08</v>
      </c>
      <c r="Q233" s="4">
        <f>L233+P233</f>
        <v>20071239.880000003</v>
      </c>
      <c r="R233" s="4">
        <f t="shared" si="259"/>
        <v>0</v>
      </c>
      <c r="S233" s="4">
        <f t="shared" si="259"/>
        <v>0</v>
      </c>
      <c r="T233" s="4">
        <f t="shared" ref="T233" si="262">+T234</f>
        <v>9543155.6799999997</v>
      </c>
      <c r="U233" s="4">
        <f t="shared" si="242"/>
        <v>9543155.6799999997</v>
      </c>
      <c r="V233" s="4">
        <f t="shared" si="243"/>
        <v>29614395.560000002</v>
      </c>
      <c r="W233" s="4">
        <f t="shared" si="261"/>
        <v>1652608.33</v>
      </c>
      <c r="X233" s="67">
        <f t="shared" si="261"/>
        <v>3244610.53</v>
      </c>
      <c r="Y233" s="4">
        <f t="shared" si="261"/>
        <v>2331266.7999999998</v>
      </c>
      <c r="Z233" s="4">
        <f t="shared" si="245"/>
        <v>36842881.219999999</v>
      </c>
      <c r="AA233" s="5">
        <f t="shared" si="249"/>
        <v>49.467886660018479</v>
      </c>
      <c r="AB233" s="4">
        <f t="shared" si="231"/>
        <v>-23023018.780000001</v>
      </c>
      <c r="AC233" s="4">
        <f t="shared" si="232"/>
        <v>61.542349183759036</v>
      </c>
    </row>
    <row r="234" spans="1:29" s="16" customFormat="1" ht="52.8" x14ac:dyDescent="0.25">
      <c r="A234" s="1" t="s">
        <v>551</v>
      </c>
      <c r="B234" s="7" t="s">
        <v>295</v>
      </c>
      <c r="C234" s="7" t="s">
        <v>296</v>
      </c>
      <c r="D234" s="4">
        <v>59865900</v>
      </c>
      <c r="E234" s="4">
        <v>59865900</v>
      </c>
      <c r="F234" s="4">
        <v>59865900</v>
      </c>
      <c r="G234" s="4">
        <v>59865900</v>
      </c>
      <c r="H234" s="4">
        <v>59865900</v>
      </c>
      <c r="I234" s="4">
        <v>0</v>
      </c>
      <c r="J234" s="4">
        <v>3370944.37</v>
      </c>
      <c r="K234" s="4">
        <f>188743.31+892031.86+1951672.79+973151.03+3487496.5+232499.77+3812996.17</f>
        <v>11538591.43</v>
      </c>
      <c r="L234" s="4">
        <f>I234+J234+K234</f>
        <v>14909535.800000001</v>
      </c>
      <c r="M234" s="4">
        <v>0.01</v>
      </c>
      <c r="N234" s="4">
        <v>3064951.42</v>
      </c>
      <c r="O234" s="4">
        <v>2096752.65</v>
      </c>
      <c r="P234" s="4">
        <f>M234+N234+O234</f>
        <v>5161704.08</v>
      </c>
      <c r="Q234" s="4">
        <f t="shared" si="183"/>
        <v>20071239.880000003</v>
      </c>
      <c r="R234" s="4"/>
      <c r="S234" s="4"/>
      <c r="T234" s="4">
        <f>4771577.84+4771577.84</f>
        <v>9543155.6799999997</v>
      </c>
      <c r="U234" s="4">
        <f t="shared" si="242"/>
        <v>9543155.6799999997</v>
      </c>
      <c r="V234" s="4">
        <f t="shared" si="243"/>
        <v>29614395.560000002</v>
      </c>
      <c r="W234" s="4">
        <v>1652608.33</v>
      </c>
      <c r="X234" s="67">
        <f>1721.43+0.01+3242889.09</f>
        <v>3244610.53</v>
      </c>
      <c r="Y234" s="4">
        <f>27771.63+2303495.17</f>
        <v>2331266.7999999998</v>
      </c>
      <c r="Z234" s="67">
        <f t="shared" si="245"/>
        <v>36842881.219999999</v>
      </c>
      <c r="AA234" s="5">
        <f t="shared" si="249"/>
        <v>49.467886660018479</v>
      </c>
      <c r="AB234" s="4">
        <f t="shared" si="231"/>
        <v>-23023018.780000001</v>
      </c>
      <c r="AC234" s="4">
        <f t="shared" si="232"/>
        <v>61.542349183759036</v>
      </c>
    </row>
    <row r="235" spans="1:29" s="16" customFormat="1" ht="52.8" x14ac:dyDescent="0.25">
      <c r="A235" s="31" t="s">
        <v>297</v>
      </c>
      <c r="B235" s="30" t="s">
        <v>5</v>
      </c>
      <c r="C235" s="30" t="s">
        <v>298</v>
      </c>
      <c r="D235" s="4">
        <f t="shared" ref="D235:T235" si="263">D236</f>
        <v>4566800</v>
      </c>
      <c r="E235" s="4">
        <f t="shared" si="263"/>
        <v>4566800</v>
      </c>
      <c r="F235" s="4">
        <f t="shared" si="263"/>
        <v>4566800</v>
      </c>
      <c r="G235" s="4">
        <f t="shared" si="263"/>
        <v>4566800</v>
      </c>
      <c r="H235" s="4">
        <f t="shared" si="263"/>
        <v>4566800</v>
      </c>
      <c r="I235" s="4">
        <f t="shared" si="263"/>
        <v>0</v>
      </c>
      <c r="J235" s="4">
        <f t="shared" si="263"/>
        <v>0</v>
      </c>
      <c r="K235" s="4">
        <f t="shared" si="263"/>
        <v>0</v>
      </c>
      <c r="L235" s="4">
        <f t="shared" si="263"/>
        <v>0</v>
      </c>
      <c r="M235" s="4">
        <f t="shared" si="263"/>
        <v>0</v>
      </c>
      <c r="N235" s="4">
        <f t="shared" si="263"/>
        <v>681600.11</v>
      </c>
      <c r="O235" s="4">
        <f t="shared" si="263"/>
        <v>0</v>
      </c>
      <c r="P235" s="4">
        <f t="shared" si="263"/>
        <v>681600.11</v>
      </c>
      <c r="Q235" s="4">
        <f t="shared" si="183"/>
        <v>681600.11</v>
      </c>
      <c r="R235" s="4">
        <f t="shared" si="263"/>
        <v>490924.94</v>
      </c>
      <c r="S235" s="4">
        <f t="shared" si="263"/>
        <v>2275060.89</v>
      </c>
      <c r="T235" s="4">
        <f t="shared" si="263"/>
        <v>0</v>
      </c>
      <c r="U235" s="4">
        <f t="shared" si="242"/>
        <v>2765985.83</v>
      </c>
      <c r="V235" s="4">
        <f t="shared" si="243"/>
        <v>3447585.94</v>
      </c>
      <c r="W235" s="4">
        <f t="shared" ref="W235:Y235" si="264">W236</f>
        <v>479867.51</v>
      </c>
      <c r="X235" s="67">
        <f t="shared" si="264"/>
        <v>366098.73</v>
      </c>
      <c r="Y235" s="4">
        <f t="shared" si="264"/>
        <v>273247.82</v>
      </c>
      <c r="Z235" s="4">
        <f t="shared" si="245"/>
        <v>4566800</v>
      </c>
      <c r="AA235" s="5">
        <f t="shared" si="249"/>
        <v>75.492378470701581</v>
      </c>
      <c r="AB235" s="4">
        <f t="shared" si="231"/>
        <v>0</v>
      </c>
      <c r="AC235" s="4">
        <f t="shared" si="232"/>
        <v>100</v>
      </c>
    </row>
    <row r="236" spans="1:29" s="16" customFormat="1" ht="52.8" x14ac:dyDescent="0.25">
      <c r="A236" s="31" t="s">
        <v>299</v>
      </c>
      <c r="B236" s="7" t="s">
        <v>300</v>
      </c>
      <c r="C236" s="7" t="s">
        <v>301</v>
      </c>
      <c r="D236" s="4">
        <f>3355100+1211700</f>
        <v>4566800</v>
      </c>
      <c r="E236" s="4">
        <f>3355100+1211700</f>
        <v>4566800</v>
      </c>
      <c r="F236" s="4">
        <f>3355100+1211700</f>
        <v>4566800</v>
      </c>
      <c r="G236" s="4">
        <f>3355100+1211700</f>
        <v>4566800</v>
      </c>
      <c r="H236" s="4">
        <f>3355100+1211700</f>
        <v>4566800</v>
      </c>
      <c r="I236" s="4">
        <v>0</v>
      </c>
      <c r="J236" s="4"/>
      <c r="K236" s="4"/>
      <c r="L236" s="4">
        <f>I236+J236+K236</f>
        <v>0</v>
      </c>
      <c r="M236" s="4"/>
      <c r="N236" s="4">
        <v>681600.11</v>
      </c>
      <c r="O236" s="4"/>
      <c r="P236" s="4">
        <f>M236+N236+O236</f>
        <v>681600.11</v>
      </c>
      <c r="Q236" s="4">
        <f t="shared" si="183"/>
        <v>681600.11</v>
      </c>
      <c r="R236" s="4">
        <v>490924.94</v>
      </c>
      <c r="S236" s="4">
        <v>2275060.89</v>
      </c>
      <c r="T236" s="4"/>
      <c r="U236" s="4">
        <f t="shared" si="242"/>
        <v>2765985.83</v>
      </c>
      <c r="V236" s="4">
        <f t="shared" si="243"/>
        <v>3447585.94</v>
      </c>
      <c r="W236" s="4">
        <v>479867.51</v>
      </c>
      <c r="X236" s="67">
        <v>366098.73</v>
      </c>
      <c r="Y236" s="4">
        <f>273247.81+0.01</f>
        <v>273247.82</v>
      </c>
      <c r="Z236" s="4">
        <f t="shared" si="245"/>
        <v>4566800</v>
      </c>
      <c r="AA236" s="5">
        <f t="shared" si="249"/>
        <v>75.492378470701581</v>
      </c>
      <c r="AB236" s="4">
        <f t="shared" si="231"/>
        <v>0</v>
      </c>
      <c r="AC236" s="4">
        <f t="shared" si="232"/>
        <v>100</v>
      </c>
    </row>
    <row r="237" spans="1:29" s="16" customFormat="1" ht="26.4" x14ac:dyDescent="0.25">
      <c r="A237" s="1" t="s">
        <v>444</v>
      </c>
      <c r="B237" s="7" t="s">
        <v>5</v>
      </c>
      <c r="C237" s="7" t="s">
        <v>443</v>
      </c>
      <c r="D237" s="4">
        <f t="shared" ref="D237:T239" si="265">D238</f>
        <v>19316402.82</v>
      </c>
      <c r="E237" s="4">
        <f t="shared" si="265"/>
        <v>19316402.82</v>
      </c>
      <c r="F237" s="4">
        <f t="shared" si="265"/>
        <v>19316402.82</v>
      </c>
      <c r="G237" s="4">
        <f t="shared" si="265"/>
        <v>19316402.82</v>
      </c>
      <c r="H237" s="4">
        <f t="shared" si="265"/>
        <v>19386277.27</v>
      </c>
      <c r="I237" s="4">
        <f t="shared" si="265"/>
        <v>0</v>
      </c>
      <c r="J237" s="4">
        <f t="shared" si="265"/>
        <v>0</v>
      </c>
      <c r="K237" s="4">
        <f t="shared" si="265"/>
        <v>3726637</v>
      </c>
      <c r="L237" s="4">
        <f t="shared" si="265"/>
        <v>3726637</v>
      </c>
      <c r="M237" s="4">
        <f t="shared" si="265"/>
        <v>0</v>
      </c>
      <c r="N237" s="4">
        <f t="shared" si="265"/>
        <v>10434584</v>
      </c>
      <c r="O237" s="4">
        <f t="shared" si="265"/>
        <v>0</v>
      </c>
      <c r="P237" s="4">
        <f t="shared" si="265"/>
        <v>10434584</v>
      </c>
      <c r="Q237" s="4">
        <f t="shared" ref="Q237:Q313" si="266">L237+P237</f>
        <v>14161221</v>
      </c>
      <c r="R237" s="4">
        <f t="shared" si="265"/>
        <v>0</v>
      </c>
      <c r="S237" s="4">
        <f t="shared" si="265"/>
        <v>5155181.82</v>
      </c>
      <c r="T237" s="4">
        <f t="shared" si="265"/>
        <v>0</v>
      </c>
      <c r="U237" s="4">
        <f t="shared" si="242"/>
        <v>5155181.82</v>
      </c>
      <c r="V237" s="4">
        <f t="shared" si="243"/>
        <v>19316402.82</v>
      </c>
      <c r="W237" s="4">
        <f t="shared" ref="W237:Y239" si="267">W238</f>
        <v>0</v>
      </c>
      <c r="X237" s="67">
        <f t="shared" si="267"/>
        <v>0</v>
      </c>
      <c r="Y237" s="4">
        <f t="shared" si="267"/>
        <v>69874.45</v>
      </c>
      <c r="Z237" s="4">
        <f t="shared" si="245"/>
        <v>19386277.27</v>
      </c>
      <c r="AA237" s="5">
        <f t="shared" si="249"/>
        <v>99.639567468127936</v>
      </c>
      <c r="AB237" s="4">
        <f t="shared" si="231"/>
        <v>0</v>
      </c>
      <c r="AC237" s="4">
        <f t="shared" si="232"/>
        <v>100</v>
      </c>
    </row>
    <row r="238" spans="1:29" s="16" customFormat="1" ht="26.4" x14ac:dyDescent="0.25">
      <c r="A238" s="1" t="s">
        <v>430</v>
      </c>
      <c r="B238" s="7" t="s">
        <v>312</v>
      </c>
      <c r="C238" s="7" t="s">
        <v>429</v>
      </c>
      <c r="D238" s="4">
        <v>19316402.82</v>
      </c>
      <c r="E238" s="4">
        <v>19316402.82</v>
      </c>
      <c r="F238" s="4">
        <v>19316402.82</v>
      </c>
      <c r="G238" s="4">
        <v>19316402.82</v>
      </c>
      <c r="H238" s="4">
        <v>19386277.27</v>
      </c>
      <c r="I238" s="4">
        <v>0</v>
      </c>
      <c r="J238" s="4">
        <v>0</v>
      </c>
      <c r="K238" s="4">
        <f>745327.44+745327.44+2235982.12</f>
        <v>3726637</v>
      </c>
      <c r="L238" s="4">
        <f>I238+J238+K238</f>
        <v>3726637</v>
      </c>
      <c r="M238" s="4">
        <v>0</v>
      </c>
      <c r="N238" s="4">
        <v>10434584</v>
      </c>
      <c r="O238" s="4"/>
      <c r="P238" s="4">
        <f>M238+N238+O238</f>
        <v>10434584</v>
      </c>
      <c r="Q238" s="4">
        <f t="shared" si="266"/>
        <v>14161221</v>
      </c>
      <c r="R238" s="4"/>
      <c r="S238" s="4">
        <v>5155181.82</v>
      </c>
      <c r="T238" s="4"/>
      <c r="U238" s="4">
        <f t="shared" si="242"/>
        <v>5155181.82</v>
      </c>
      <c r="V238" s="4">
        <f t="shared" si="243"/>
        <v>19316402.82</v>
      </c>
      <c r="W238" s="4"/>
      <c r="X238" s="67"/>
      <c r="Y238" s="4">
        <v>69874.45</v>
      </c>
      <c r="Z238" s="4">
        <f t="shared" si="245"/>
        <v>19386277.27</v>
      </c>
      <c r="AA238" s="5">
        <f t="shared" si="249"/>
        <v>99.639567468127936</v>
      </c>
      <c r="AB238" s="4">
        <f t="shared" si="231"/>
        <v>0</v>
      </c>
      <c r="AC238" s="4">
        <f t="shared" si="232"/>
        <v>100</v>
      </c>
    </row>
    <row r="239" spans="1:29" s="16" customFormat="1" ht="15" customHeight="1" x14ac:dyDescent="0.25">
      <c r="A239" s="99" t="s">
        <v>598</v>
      </c>
      <c r="B239" s="7" t="s">
        <v>5</v>
      </c>
      <c r="C239" s="7" t="s">
        <v>574</v>
      </c>
      <c r="D239" s="4">
        <f t="shared" si="265"/>
        <v>19316402.82</v>
      </c>
      <c r="E239" s="4">
        <f t="shared" si="265"/>
        <v>19316402.82</v>
      </c>
      <c r="F239" s="4">
        <f t="shared" si="265"/>
        <v>19316402.82</v>
      </c>
      <c r="G239" s="4">
        <f t="shared" si="265"/>
        <v>19316402.82</v>
      </c>
      <c r="H239" s="4">
        <f t="shared" si="265"/>
        <v>537124.88300000003</v>
      </c>
      <c r="I239" s="4">
        <f t="shared" si="265"/>
        <v>0</v>
      </c>
      <c r="J239" s="4">
        <f t="shared" si="265"/>
        <v>0</v>
      </c>
      <c r="K239" s="4">
        <f t="shared" si="265"/>
        <v>0</v>
      </c>
      <c r="L239" s="4">
        <f t="shared" si="265"/>
        <v>0</v>
      </c>
      <c r="M239" s="4">
        <f t="shared" si="265"/>
        <v>0</v>
      </c>
      <c r="N239" s="4">
        <f t="shared" si="265"/>
        <v>0</v>
      </c>
      <c r="O239" s="4">
        <f t="shared" si="265"/>
        <v>0</v>
      </c>
      <c r="P239" s="4">
        <f t="shared" si="265"/>
        <v>0</v>
      </c>
      <c r="Q239" s="4">
        <f t="shared" si="266"/>
        <v>0</v>
      </c>
      <c r="R239" s="4">
        <f t="shared" si="265"/>
        <v>0</v>
      </c>
      <c r="S239" s="4">
        <f t="shared" si="265"/>
        <v>0</v>
      </c>
      <c r="T239" s="4">
        <f t="shared" si="265"/>
        <v>0</v>
      </c>
      <c r="U239" s="4">
        <f t="shared" si="242"/>
        <v>0</v>
      </c>
      <c r="V239" s="4">
        <f t="shared" si="243"/>
        <v>0</v>
      </c>
      <c r="W239" s="4">
        <f t="shared" si="267"/>
        <v>0</v>
      </c>
      <c r="X239" s="67">
        <f t="shared" si="267"/>
        <v>0</v>
      </c>
      <c r="Y239" s="4">
        <f t="shared" si="267"/>
        <v>537124.88</v>
      </c>
      <c r="Z239" s="4">
        <f t="shared" si="245"/>
        <v>537124.88</v>
      </c>
      <c r="AA239" s="5">
        <f t="shared" si="249"/>
        <v>0</v>
      </c>
      <c r="AB239" s="4">
        <f t="shared" si="231"/>
        <v>-3.0000000260770321E-3</v>
      </c>
      <c r="AC239" s="4">
        <f t="shared" si="232"/>
        <v>99.999999441470663</v>
      </c>
    </row>
    <row r="240" spans="1:29" s="16" customFormat="1" ht="30" customHeight="1" x14ac:dyDescent="0.25">
      <c r="A240" s="99" t="s">
        <v>599</v>
      </c>
      <c r="B240" s="7" t="s">
        <v>300</v>
      </c>
      <c r="C240" s="7" t="s">
        <v>575</v>
      </c>
      <c r="D240" s="4">
        <v>19316402.82</v>
      </c>
      <c r="E240" s="4">
        <v>19316402.82</v>
      </c>
      <c r="F240" s="4">
        <v>19316402.82</v>
      </c>
      <c r="G240" s="4">
        <v>19316402.82</v>
      </c>
      <c r="H240" s="4">
        <v>537124.88300000003</v>
      </c>
      <c r="I240" s="4">
        <v>0</v>
      </c>
      <c r="J240" s="4">
        <v>0</v>
      </c>
      <c r="K240" s="4"/>
      <c r="L240" s="4">
        <f>I240+J240+K240</f>
        <v>0</v>
      </c>
      <c r="M240" s="4">
        <v>0</v>
      </c>
      <c r="N240" s="4"/>
      <c r="O240" s="4"/>
      <c r="P240" s="4">
        <f>M240+N240+O240</f>
        <v>0</v>
      </c>
      <c r="Q240" s="4">
        <f t="shared" si="266"/>
        <v>0</v>
      </c>
      <c r="R240" s="4"/>
      <c r="S240" s="4"/>
      <c r="T240" s="4"/>
      <c r="U240" s="4">
        <f t="shared" si="242"/>
        <v>0</v>
      </c>
      <c r="V240" s="4">
        <f t="shared" si="243"/>
        <v>0</v>
      </c>
      <c r="W240" s="4"/>
      <c r="X240" s="67"/>
      <c r="Y240" s="4">
        <v>537124.88</v>
      </c>
      <c r="Z240" s="4">
        <f t="shared" si="245"/>
        <v>537124.88</v>
      </c>
      <c r="AA240" s="5">
        <f t="shared" si="249"/>
        <v>0</v>
      </c>
      <c r="AB240" s="4">
        <f t="shared" si="231"/>
        <v>-3.0000000260770321E-3</v>
      </c>
      <c r="AC240" s="4">
        <f t="shared" si="232"/>
        <v>99.999999441470663</v>
      </c>
    </row>
    <row r="241" spans="1:29" s="16" customFormat="1" ht="31.2" customHeight="1" x14ac:dyDescent="0.25">
      <c r="A241" s="34" t="s">
        <v>552</v>
      </c>
      <c r="B241" s="7" t="s">
        <v>5</v>
      </c>
      <c r="C241" s="7" t="s">
        <v>302</v>
      </c>
      <c r="D241" s="4">
        <f t="shared" ref="D241:N241" si="268">+D242</f>
        <v>43994800</v>
      </c>
      <c r="E241" s="4">
        <f t="shared" si="268"/>
        <v>43994800</v>
      </c>
      <c r="F241" s="4">
        <f t="shared" si="268"/>
        <v>43994800</v>
      </c>
      <c r="G241" s="4">
        <f t="shared" si="268"/>
        <v>43994800</v>
      </c>
      <c r="H241" s="4">
        <f t="shared" si="268"/>
        <v>30665885.82</v>
      </c>
      <c r="I241" s="4">
        <f t="shared" si="268"/>
        <v>0</v>
      </c>
      <c r="J241" s="4">
        <f t="shared" si="268"/>
        <v>0</v>
      </c>
      <c r="K241" s="4">
        <f t="shared" si="268"/>
        <v>0</v>
      </c>
      <c r="L241" s="4">
        <f t="shared" si="268"/>
        <v>0</v>
      </c>
      <c r="M241" s="4">
        <f t="shared" si="268"/>
        <v>0</v>
      </c>
      <c r="N241" s="4">
        <f t="shared" si="268"/>
        <v>0</v>
      </c>
      <c r="O241" s="4">
        <f>+O242</f>
        <v>7795053.3200000003</v>
      </c>
      <c r="P241" s="4">
        <f t="shared" ref="P241:P242" si="269">M241+N241+O241</f>
        <v>7795053.3200000003</v>
      </c>
      <c r="Q241" s="4">
        <f t="shared" si="266"/>
        <v>7795053.3200000003</v>
      </c>
      <c r="R241" s="4">
        <f>+R242</f>
        <v>2666769.0499999998</v>
      </c>
      <c r="S241" s="4">
        <f>+S242</f>
        <v>1098443.1000000001</v>
      </c>
      <c r="T241" s="4">
        <f>+T242</f>
        <v>7115232.0899999999</v>
      </c>
      <c r="U241" s="4">
        <f t="shared" si="242"/>
        <v>10880444.24</v>
      </c>
      <c r="V241" s="4">
        <f t="shared" si="243"/>
        <v>18675497.560000002</v>
      </c>
      <c r="W241" s="4">
        <f>+W242</f>
        <v>3363724.13</v>
      </c>
      <c r="X241" s="67">
        <f>+X242</f>
        <v>3767120.55</v>
      </c>
      <c r="Y241" s="4">
        <f>+Y242</f>
        <v>4854582.6400000006</v>
      </c>
      <c r="Z241" s="4">
        <f t="shared" si="245"/>
        <v>30660924.880000003</v>
      </c>
      <c r="AA241" s="5">
        <f t="shared" si="249"/>
        <v>60.89991226609218</v>
      </c>
      <c r="AB241" s="4">
        <f t="shared" si="231"/>
        <v>-4960.9399999976158</v>
      </c>
      <c r="AC241" s="4">
        <f t="shared" si="232"/>
        <v>99.983822609824102</v>
      </c>
    </row>
    <row r="242" spans="1:29" s="16" customFormat="1" ht="29.4" customHeight="1" x14ac:dyDescent="0.25">
      <c r="A242" s="31" t="s">
        <v>553</v>
      </c>
      <c r="B242" s="7" t="s">
        <v>92</v>
      </c>
      <c r="C242" s="7" t="s">
        <v>303</v>
      </c>
      <c r="D242" s="4">
        <v>43994800</v>
      </c>
      <c r="E242" s="4">
        <v>43994800</v>
      </c>
      <c r="F242" s="4">
        <v>43994800</v>
      </c>
      <c r="G242" s="4">
        <v>43994800</v>
      </c>
      <c r="H242" s="4">
        <v>30665885.82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7795053.3200000003</v>
      </c>
      <c r="P242" s="4">
        <f t="shared" si="269"/>
        <v>7795053.3200000003</v>
      </c>
      <c r="Q242" s="4">
        <f t="shared" si="266"/>
        <v>7795053.3200000003</v>
      </c>
      <c r="R242" s="4">
        <v>2666769.0499999998</v>
      </c>
      <c r="S242" s="4">
        <v>1098443.1000000001</v>
      </c>
      <c r="T242" s="4">
        <f>2712548.99+720896.89+3413506.57+268279.64</f>
        <v>7115232.0899999999</v>
      </c>
      <c r="U242" s="4">
        <f t="shared" si="242"/>
        <v>10880444.24</v>
      </c>
      <c r="V242" s="4">
        <f t="shared" si="243"/>
        <v>18675497.560000002</v>
      </c>
      <c r="W242" s="4">
        <f>901918.42+2461805.71</f>
        <v>3363724.13</v>
      </c>
      <c r="X242" s="67">
        <v>3767120.55</v>
      </c>
      <c r="Y242" s="4">
        <f>1615663.31+3238919.33</f>
        <v>4854582.6400000006</v>
      </c>
      <c r="Z242" s="4">
        <f t="shared" si="245"/>
        <v>30660924.880000003</v>
      </c>
      <c r="AA242" s="5">
        <f t="shared" si="249"/>
        <v>60.89991226609218</v>
      </c>
      <c r="AB242" s="4">
        <f t="shared" si="231"/>
        <v>-4960.9399999976158</v>
      </c>
      <c r="AC242" s="4">
        <f t="shared" si="232"/>
        <v>99.983822609824102</v>
      </c>
    </row>
    <row r="243" spans="1:29" s="16" customFormat="1" ht="16.2" customHeight="1" x14ac:dyDescent="0.25">
      <c r="A243" s="1" t="s">
        <v>304</v>
      </c>
      <c r="B243" s="7" t="s">
        <v>5</v>
      </c>
      <c r="C243" s="28" t="s">
        <v>305</v>
      </c>
      <c r="D243" s="4">
        <f t="shared" ref="D243:T243" si="270">+D244</f>
        <v>186822273</v>
      </c>
      <c r="E243" s="4">
        <f t="shared" si="270"/>
        <v>195439017</v>
      </c>
      <c r="F243" s="4">
        <f t="shared" si="270"/>
        <v>199615017</v>
      </c>
      <c r="G243" s="4">
        <f t="shared" si="270"/>
        <v>200021760</v>
      </c>
      <c r="H243" s="4">
        <f t="shared" si="270"/>
        <v>251041641.59999999</v>
      </c>
      <c r="I243" s="4">
        <f t="shared" si="270"/>
        <v>10211800</v>
      </c>
      <c r="J243" s="4">
        <f t="shared" si="270"/>
        <v>10634762.15</v>
      </c>
      <c r="K243" s="4">
        <f t="shared" si="270"/>
        <v>25013038.829999998</v>
      </c>
      <c r="L243" s="4">
        <f t="shared" si="270"/>
        <v>45859600.980000004</v>
      </c>
      <c r="M243" s="4">
        <f t="shared" si="270"/>
        <v>26600</v>
      </c>
      <c r="N243" s="4">
        <f t="shared" si="270"/>
        <v>23787492.220000003</v>
      </c>
      <c r="O243" s="4">
        <f t="shared" si="270"/>
        <v>2974244.6599999997</v>
      </c>
      <c r="P243" s="4">
        <f t="shared" si="270"/>
        <v>26788336.880000003</v>
      </c>
      <c r="Q243" s="4">
        <f t="shared" si="266"/>
        <v>72647937.860000014</v>
      </c>
      <c r="R243" s="4">
        <f t="shared" si="270"/>
        <v>13110456.1</v>
      </c>
      <c r="S243" s="4">
        <f t="shared" si="270"/>
        <v>11653995.01</v>
      </c>
      <c r="T243" s="4">
        <f t="shared" si="270"/>
        <v>19212124.879999999</v>
      </c>
      <c r="U243" s="4">
        <f t="shared" si="242"/>
        <v>43976575.989999995</v>
      </c>
      <c r="V243" s="4">
        <f t="shared" si="243"/>
        <v>116624513.85000001</v>
      </c>
      <c r="W243" s="4">
        <f t="shared" ref="W243:Y243" si="271">+W244</f>
        <v>15758772.699999999</v>
      </c>
      <c r="X243" s="67">
        <f t="shared" si="271"/>
        <v>16269056.039999999</v>
      </c>
      <c r="Y243" s="4">
        <f t="shared" si="271"/>
        <v>51359895.189999998</v>
      </c>
      <c r="Z243" s="4">
        <f t="shared" si="245"/>
        <v>200012237.78</v>
      </c>
      <c r="AA243" s="5">
        <f t="shared" si="249"/>
        <v>46.456242520842409</v>
      </c>
      <c r="AB243" s="4">
        <f t="shared" si="231"/>
        <v>-51029403.819999993</v>
      </c>
      <c r="AC243" s="4">
        <f t="shared" si="232"/>
        <v>79.672932548254977</v>
      </c>
    </row>
    <row r="244" spans="1:29" s="16" customFormat="1" ht="16.8" customHeight="1" x14ac:dyDescent="0.25">
      <c r="A244" s="1" t="s">
        <v>306</v>
      </c>
      <c r="B244" s="7" t="s">
        <v>5</v>
      </c>
      <c r="C244" s="28" t="s">
        <v>307</v>
      </c>
      <c r="D244" s="4">
        <f>+D258+D253+D248+D249+D245+D247+D246+D259+D254+D250</f>
        <v>186822273</v>
      </c>
      <c r="E244" s="4">
        <f>+E258+E253+E248+E249+E245+E247+E246+E259+E254+E250+E251+E255+E260</f>
        <v>195439017</v>
      </c>
      <c r="F244" s="4">
        <f>+F258+F253+F248+F249+F245+F247+F246+F259+F254+F250+F251+F255+F260+F252</f>
        <v>199615017</v>
      </c>
      <c r="G244" s="4">
        <f>+G258+G253+G248+G249+G245+G247+G246+G259+G254+G250+G251+G255+G260+G252+G256</f>
        <v>200021760</v>
      </c>
      <c r="H244" s="4">
        <f>+H258+H253+H248+H249+H245+H247+H246+H259+H254+H250+H251+H255+H260+H252+H256+H261+H257</f>
        <v>251041641.59999999</v>
      </c>
      <c r="I244" s="4">
        <f t="shared" ref="I244:T244" si="272">+I258+I253+I248+I249+I245+I247+I246+I259+I254+I250+I251+I255+I260+I252+I256+I261+I257</f>
        <v>10211800</v>
      </c>
      <c r="J244" s="4">
        <f t="shared" si="272"/>
        <v>10634762.15</v>
      </c>
      <c r="K244" s="4">
        <f t="shared" si="272"/>
        <v>25013038.829999998</v>
      </c>
      <c r="L244" s="4">
        <f t="shared" si="272"/>
        <v>45859600.980000004</v>
      </c>
      <c r="M244" s="4">
        <f t="shared" si="272"/>
        <v>26600</v>
      </c>
      <c r="N244" s="4">
        <f t="shared" si="272"/>
        <v>23787492.220000003</v>
      </c>
      <c r="O244" s="4">
        <f t="shared" si="272"/>
        <v>2974244.6599999997</v>
      </c>
      <c r="P244" s="4">
        <f t="shared" si="272"/>
        <v>26788336.880000003</v>
      </c>
      <c r="Q244" s="4">
        <f t="shared" si="272"/>
        <v>72647937.860000014</v>
      </c>
      <c r="R244" s="4">
        <f t="shared" si="272"/>
        <v>13110456.1</v>
      </c>
      <c r="S244" s="4">
        <f t="shared" si="272"/>
        <v>11653995.01</v>
      </c>
      <c r="T244" s="4">
        <f t="shared" si="272"/>
        <v>19212124.879999999</v>
      </c>
      <c r="U244" s="4">
        <f t="shared" si="242"/>
        <v>43976575.989999995</v>
      </c>
      <c r="V244" s="4">
        <f t="shared" si="243"/>
        <v>116624513.85000001</v>
      </c>
      <c r="W244" s="4">
        <f t="shared" ref="W244:Y244" si="273">+W258+W253+W248+W249+W245+W247+W246+W259+W254+W250+W251+W255+W260+W252+W256+W261+W257</f>
        <v>15758772.699999999</v>
      </c>
      <c r="X244" s="67">
        <f t="shared" si="273"/>
        <v>16269056.039999999</v>
      </c>
      <c r="Y244" s="4">
        <f t="shared" si="273"/>
        <v>51359895.189999998</v>
      </c>
      <c r="Z244" s="4">
        <f t="shared" si="245"/>
        <v>200012237.78</v>
      </c>
      <c r="AA244" s="5">
        <f t="shared" si="249"/>
        <v>46.456242520842409</v>
      </c>
      <c r="AB244" s="4">
        <f t="shared" si="231"/>
        <v>-51029403.819999993</v>
      </c>
      <c r="AC244" s="4">
        <f t="shared" si="232"/>
        <v>79.672932548254977</v>
      </c>
    </row>
    <row r="245" spans="1:29" s="16" customFormat="1" ht="43.2" customHeight="1" x14ac:dyDescent="0.25">
      <c r="A245" s="32" t="s">
        <v>308</v>
      </c>
      <c r="B245" s="7" t="s">
        <v>300</v>
      </c>
      <c r="C245" s="28" t="s">
        <v>307</v>
      </c>
      <c r="D245" s="33">
        <v>26600</v>
      </c>
      <c r="E245" s="33">
        <v>26600</v>
      </c>
      <c r="F245" s="33">
        <v>26600</v>
      </c>
      <c r="G245" s="33">
        <v>26600</v>
      </c>
      <c r="H245" s="33">
        <v>26600</v>
      </c>
      <c r="I245" s="33">
        <v>0</v>
      </c>
      <c r="J245" s="33"/>
      <c r="K245" s="33"/>
      <c r="L245" s="4">
        <f>I245+J245+K245</f>
        <v>0</v>
      </c>
      <c r="M245" s="33">
        <v>26600</v>
      </c>
      <c r="N245" s="33"/>
      <c r="O245" s="33"/>
      <c r="P245" s="4">
        <f>M245+N245+O245</f>
        <v>26600</v>
      </c>
      <c r="Q245" s="4">
        <f t="shared" si="266"/>
        <v>26600</v>
      </c>
      <c r="R245" s="33"/>
      <c r="S245" s="33"/>
      <c r="T245" s="33"/>
      <c r="U245" s="4">
        <f t="shared" si="242"/>
        <v>0</v>
      </c>
      <c r="V245" s="4">
        <f t="shared" si="243"/>
        <v>26600</v>
      </c>
      <c r="W245" s="33"/>
      <c r="X245" s="71"/>
      <c r="Y245" s="33"/>
      <c r="Z245" s="4">
        <f t="shared" si="245"/>
        <v>26600</v>
      </c>
      <c r="AA245" s="5">
        <f t="shared" si="249"/>
        <v>100</v>
      </c>
      <c r="AB245" s="4">
        <f t="shared" si="231"/>
        <v>0</v>
      </c>
      <c r="AC245" s="4">
        <f t="shared" si="232"/>
        <v>100</v>
      </c>
    </row>
    <row r="246" spans="1:29" s="16" customFormat="1" ht="32.4" customHeight="1" x14ac:dyDescent="0.25">
      <c r="A246" s="32" t="s">
        <v>309</v>
      </c>
      <c r="B246" s="7" t="s">
        <v>300</v>
      </c>
      <c r="C246" s="28" t="s">
        <v>307</v>
      </c>
      <c r="D246" s="33">
        <v>1497300</v>
      </c>
      <c r="E246" s="33">
        <v>1497300</v>
      </c>
      <c r="F246" s="33">
        <v>1497300</v>
      </c>
      <c r="G246" s="33">
        <v>1497300</v>
      </c>
      <c r="H246" s="33">
        <v>1497300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1497300</v>
      </c>
      <c r="O246" s="33">
        <v>0</v>
      </c>
      <c r="P246" s="4">
        <f>M246+N246+O246</f>
        <v>1497300</v>
      </c>
      <c r="Q246" s="4">
        <f t="shared" si="266"/>
        <v>1497300</v>
      </c>
      <c r="R246" s="33">
        <v>0</v>
      </c>
      <c r="S246" s="33">
        <v>0</v>
      </c>
      <c r="T246" s="33">
        <v>0</v>
      </c>
      <c r="U246" s="4">
        <f t="shared" si="242"/>
        <v>0</v>
      </c>
      <c r="V246" s="4">
        <f t="shared" si="243"/>
        <v>1497300</v>
      </c>
      <c r="W246" s="33">
        <v>0</v>
      </c>
      <c r="X246" s="71">
        <v>0</v>
      </c>
      <c r="Y246" s="33">
        <v>0</v>
      </c>
      <c r="Z246" s="4">
        <f t="shared" si="245"/>
        <v>1497300</v>
      </c>
      <c r="AA246" s="5">
        <f t="shared" si="249"/>
        <v>100</v>
      </c>
      <c r="AB246" s="4">
        <f t="shared" si="231"/>
        <v>0</v>
      </c>
      <c r="AC246" s="4">
        <f t="shared" si="232"/>
        <v>100</v>
      </c>
    </row>
    <row r="247" spans="1:29" s="16" customFormat="1" ht="72.599999999999994" customHeight="1" x14ac:dyDescent="0.25">
      <c r="A247" s="34" t="s">
        <v>310</v>
      </c>
      <c r="B247" s="7" t="s">
        <v>295</v>
      </c>
      <c r="C247" s="28" t="s">
        <v>307</v>
      </c>
      <c r="D247" s="4">
        <v>2465200</v>
      </c>
      <c r="E247" s="4">
        <v>2465200</v>
      </c>
      <c r="F247" s="4">
        <v>2465200</v>
      </c>
      <c r="G247" s="4">
        <v>2465200</v>
      </c>
      <c r="H247" s="4">
        <v>2465200</v>
      </c>
      <c r="I247" s="4">
        <v>0</v>
      </c>
      <c r="J247" s="4"/>
      <c r="K247" s="4"/>
      <c r="L247" s="4">
        <f>I247+J247+K247</f>
        <v>0</v>
      </c>
      <c r="M247" s="4"/>
      <c r="N247" s="4"/>
      <c r="O247" s="4"/>
      <c r="P247" s="4">
        <f>M247+N247+O247</f>
        <v>0</v>
      </c>
      <c r="Q247" s="4">
        <f t="shared" si="266"/>
        <v>0</v>
      </c>
      <c r="R247" s="4">
        <v>2465200</v>
      </c>
      <c r="S247" s="4"/>
      <c r="T247" s="4"/>
      <c r="U247" s="4">
        <f t="shared" si="242"/>
        <v>2465200</v>
      </c>
      <c r="V247" s="4">
        <f t="shared" si="243"/>
        <v>2465200</v>
      </c>
      <c r="W247" s="4"/>
      <c r="X247" s="67"/>
      <c r="Y247" s="4"/>
      <c r="Z247" s="67">
        <f t="shared" si="245"/>
        <v>2465200</v>
      </c>
      <c r="AA247" s="5">
        <f t="shared" si="249"/>
        <v>100</v>
      </c>
      <c r="AB247" s="4">
        <f t="shared" si="231"/>
        <v>0</v>
      </c>
      <c r="AC247" s="4">
        <f t="shared" si="232"/>
        <v>100</v>
      </c>
    </row>
    <row r="248" spans="1:29" s="16" customFormat="1" ht="66" x14ac:dyDescent="0.25">
      <c r="A248" s="19" t="s">
        <v>554</v>
      </c>
      <c r="B248" s="7" t="s">
        <v>295</v>
      </c>
      <c r="C248" s="28" t="s">
        <v>307</v>
      </c>
      <c r="D248" s="4">
        <f>7043200+51900</f>
        <v>7095100</v>
      </c>
      <c r="E248" s="4">
        <f>7043200+51900</f>
        <v>7095100</v>
      </c>
      <c r="F248" s="4">
        <f>7043200+51900</f>
        <v>7095100</v>
      </c>
      <c r="G248" s="4">
        <f>7043200+51900</f>
        <v>7095100</v>
      </c>
      <c r="H248" s="4">
        <v>8816600</v>
      </c>
      <c r="I248" s="4">
        <v>0</v>
      </c>
      <c r="J248" s="4"/>
      <c r="K248" s="4">
        <f>681238.51+902273+1478997.69</f>
        <v>3062509.2</v>
      </c>
      <c r="L248" s="4">
        <f>I248+J248+K248</f>
        <v>3062509.2</v>
      </c>
      <c r="M248" s="4"/>
      <c r="N248" s="4">
        <f>711822.46+406807.02</f>
        <v>1118629.48</v>
      </c>
      <c r="O248" s="4">
        <f>197615.84</f>
        <v>197615.84</v>
      </c>
      <c r="P248" s="4">
        <f t="shared" ref="P248:P258" si="274">M248+N248+O248</f>
        <v>1316245.32</v>
      </c>
      <c r="Q248" s="4">
        <f t="shared" si="266"/>
        <v>4378754.5200000005</v>
      </c>
      <c r="R248" s="4"/>
      <c r="S248" s="4"/>
      <c r="T248" s="4">
        <v>897945.63</v>
      </c>
      <c r="U248" s="4">
        <f t="shared" si="242"/>
        <v>897945.63</v>
      </c>
      <c r="V248" s="4">
        <f t="shared" si="243"/>
        <v>5276700.1500000004</v>
      </c>
      <c r="W248" s="4">
        <f>122327.03+939598.54</f>
        <v>1061925.57</v>
      </c>
      <c r="X248" s="67">
        <f>131893.53+0.01+592570.88+414641.35</f>
        <v>1139105.77</v>
      </c>
      <c r="Y248" s="4">
        <f>129472.33+606842.31</f>
        <v>736314.64</v>
      </c>
      <c r="Z248" s="67">
        <f t="shared" si="245"/>
        <v>8214046.1299999999</v>
      </c>
      <c r="AA248" s="5">
        <f t="shared" si="249"/>
        <v>59.849603588684985</v>
      </c>
      <c r="AB248" s="4">
        <f t="shared" si="231"/>
        <v>-602553.87000000011</v>
      </c>
      <c r="AC248" s="4">
        <f t="shared" si="232"/>
        <v>93.165688927704565</v>
      </c>
    </row>
    <row r="249" spans="1:29" s="16" customFormat="1" ht="52.8" x14ac:dyDescent="0.25">
      <c r="A249" s="19" t="s">
        <v>555</v>
      </c>
      <c r="B249" s="7" t="s">
        <v>295</v>
      </c>
      <c r="C249" s="28" t="s">
        <v>307</v>
      </c>
      <c r="D249" s="4">
        <v>7308600</v>
      </c>
      <c r="E249" s="4">
        <v>7308600</v>
      </c>
      <c r="F249" s="4">
        <v>7308600</v>
      </c>
      <c r="G249" s="4">
        <v>7308600</v>
      </c>
      <c r="H249" s="4">
        <f>7308600-485200</f>
        <v>6823400</v>
      </c>
      <c r="I249" s="4">
        <v>0</v>
      </c>
      <c r="J249" s="4">
        <v>422962.15</v>
      </c>
      <c r="K249" s="4">
        <f>482830.93+1043998.7</f>
        <v>1526829.63</v>
      </c>
      <c r="L249" s="4">
        <f>I249+J249+K249</f>
        <v>1949791.7799999998</v>
      </c>
      <c r="M249" s="4"/>
      <c r="N249" s="4">
        <f>219469.83+207900.95</f>
        <v>427370.78</v>
      </c>
      <c r="O249" s="4">
        <v>128702.91</v>
      </c>
      <c r="P249" s="4">
        <f t="shared" si="274"/>
        <v>556073.69000000006</v>
      </c>
      <c r="Q249" s="4">
        <f t="shared" si="266"/>
        <v>2505865.4699999997</v>
      </c>
      <c r="R249" s="4"/>
      <c r="S249" s="4"/>
      <c r="T249" s="4">
        <v>609120</v>
      </c>
      <c r="U249" s="4">
        <f t="shared" si="242"/>
        <v>609120</v>
      </c>
      <c r="V249" s="4">
        <f t="shared" si="243"/>
        <v>3114985.4699999997</v>
      </c>
      <c r="W249" s="4">
        <f>16286.22+680339.15</f>
        <v>696625.37</v>
      </c>
      <c r="X249" s="67">
        <f>5362.48+0.03+283684.24</f>
        <v>289046.75</v>
      </c>
      <c r="Y249" s="4">
        <f>2082.11+309791.24+2289.23</f>
        <v>314162.57999999996</v>
      </c>
      <c r="Z249" s="67">
        <f t="shared" si="245"/>
        <v>4414820.17</v>
      </c>
      <c r="AA249" s="5">
        <f t="shared" si="249"/>
        <v>45.651514933903911</v>
      </c>
      <c r="AB249" s="4">
        <f t="shared" si="231"/>
        <v>-2408579.83</v>
      </c>
      <c r="AC249" s="4">
        <f t="shared" si="232"/>
        <v>64.701177858545591</v>
      </c>
    </row>
    <row r="250" spans="1:29" s="16" customFormat="1" ht="66" x14ac:dyDescent="0.25">
      <c r="A250" s="19" t="s">
        <v>431</v>
      </c>
      <c r="B250" s="7" t="s">
        <v>295</v>
      </c>
      <c r="C250" s="28" t="s">
        <v>307</v>
      </c>
      <c r="D250" s="4">
        <v>4240273</v>
      </c>
      <c r="E250" s="4">
        <v>4240273</v>
      </c>
      <c r="F250" s="4">
        <v>4240273</v>
      </c>
      <c r="G250" s="4">
        <v>4240273</v>
      </c>
      <c r="H250" s="4">
        <v>4240273</v>
      </c>
      <c r="I250" s="4">
        <v>0</v>
      </c>
      <c r="J250" s="4"/>
      <c r="K250" s="4"/>
      <c r="L250" s="4">
        <v>0</v>
      </c>
      <c r="M250" s="4"/>
      <c r="N250" s="4"/>
      <c r="O250" s="4">
        <v>2604468.2599999998</v>
      </c>
      <c r="P250" s="4">
        <f t="shared" si="274"/>
        <v>2604468.2599999998</v>
      </c>
      <c r="Q250" s="4">
        <f t="shared" si="266"/>
        <v>2604468.2599999998</v>
      </c>
      <c r="R250" s="4"/>
      <c r="S250" s="4"/>
      <c r="T250" s="4"/>
      <c r="U250" s="4">
        <f t="shared" si="242"/>
        <v>0</v>
      </c>
      <c r="V250" s="4">
        <f t="shared" si="243"/>
        <v>2604468.2599999998</v>
      </c>
      <c r="W250" s="4">
        <v>7446.31</v>
      </c>
      <c r="X250" s="67">
        <v>1628358.43</v>
      </c>
      <c r="Y250" s="4"/>
      <c r="Z250" s="67">
        <f t="shared" si="245"/>
        <v>4240273</v>
      </c>
      <c r="AA250" s="5">
        <f t="shared" si="249"/>
        <v>61.422183430170648</v>
      </c>
      <c r="AB250" s="4">
        <f t="shared" si="231"/>
        <v>0</v>
      </c>
      <c r="AC250" s="4">
        <f t="shared" si="232"/>
        <v>100</v>
      </c>
    </row>
    <row r="251" spans="1:29" s="16" customFormat="1" ht="39.6" x14ac:dyDescent="0.25">
      <c r="A251" s="19" t="s">
        <v>499</v>
      </c>
      <c r="B251" s="7" t="s">
        <v>295</v>
      </c>
      <c r="C251" s="28" t="s">
        <v>307</v>
      </c>
      <c r="D251" s="4"/>
      <c r="E251" s="4">
        <v>7231300</v>
      </c>
      <c r="F251" s="4">
        <v>7231300</v>
      </c>
      <c r="G251" s="4">
        <v>7231300</v>
      </c>
      <c r="H251" s="4">
        <v>7231300</v>
      </c>
      <c r="I251" s="4">
        <v>0</v>
      </c>
      <c r="J251" s="4"/>
      <c r="K251" s="4"/>
      <c r="L251" s="4"/>
      <c r="M251" s="4"/>
      <c r="N251" s="4"/>
      <c r="O251" s="4"/>
      <c r="P251" s="4">
        <f t="shared" si="274"/>
        <v>0</v>
      </c>
      <c r="Q251" s="4">
        <f t="shared" si="266"/>
        <v>0</v>
      </c>
      <c r="R251" s="4"/>
      <c r="S251" s="4"/>
      <c r="T251" s="4"/>
      <c r="U251" s="4">
        <f t="shared" si="242"/>
        <v>0</v>
      </c>
      <c r="V251" s="4">
        <f t="shared" si="243"/>
        <v>0</v>
      </c>
      <c r="W251" s="4"/>
      <c r="X251" s="67"/>
      <c r="Y251" s="4">
        <v>7195143.5</v>
      </c>
      <c r="Z251" s="67">
        <f t="shared" si="245"/>
        <v>7195143.5</v>
      </c>
      <c r="AA251" s="5">
        <f t="shared" si="249"/>
        <v>0</v>
      </c>
      <c r="AB251" s="4">
        <f t="shared" si="231"/>
        <v>-36156.5</v>
      </c>
      <c r="AC251" s="4">
        <f t="shared" si="232"/>
        <v>99.5</v>
      </c>
    </row>
    <row r="252" spans="1:29" s="16" customFormat="1" ht="58.2" customHeight="1" x14ac:dyDescent="0.25">
      <c r="A252" s="19" t="s">
        <v>503</v>
      </c>
      <c r="B252" s="7" t="s">
        <v>295</v>
      </c>
      <c r="C252" s="28" t="s">
        <v>307</v>
      </c>
      <c r="D252" s="4"/>
      <c r="E252" s="4"/>
      <c r="F252" s="4">
        <v>4176000</v>
      </c>
      <c r="G252" s="4">
        <v>4176000</v>
      </c>
      <c r="H252" s="4">
        <v>4176000</v>
      </c>
      <c r="I252" s="4">
        <v>0</v>
      </c>
      <c r="J252" s="4"/>
      <c r="K252" s="4"/>
      <c r="L252" s="4"/>
      <c r="M252" s="4"/>
      <c r="N252" s="4"/>
      <c r="O252" s="4"/>
      <c r="P252" s="4">
        <f t="shared" si="274"/>
        <v>0</v>
      </c>
      <c r="Q252" s="4">
        <f t="shared" si="266"/>
        <v>0</v>
      </c>
      <c r="R252" s="4"/>
      <c r="S252" s="4"/>
      <c r="T252" s="4"/>
      <c r="U252" s="4">
        <f t="shared" si="242"/>
        <v>0</v>
      </c>
      <c r="V252" s="4">
        <f t="shared" si="243"/>
        <v>0</v>
      </c>
      <c r="W252" s="4"/>
      <c r="X252" s="67"/>
      <c r="Y252" s="4">
        <v>3824304.51</v>
      </c>
      <c r="Z252" s="67">
        <f t="shared" si="245"/>
        <v>3824304.51</v>
      </c>
      <c r="AA252" s="5">
        <f t="shared" si="249"/>
        <v>0</v>
      </c>
      <c r="AB252" s="4">
        <f t="shared" si="231"/>
        <v>-351695.49000000022</v>
      </c>
      <c r="AC252" s="4">
        <f t="shared" si="232"/>
        <v>91.578173132183906</v>
      </c>
    </row>
    <row r="253" spans="1:29" s="16" customFormat="1" ht="135.6" customHeight="1" x14ac:dyDescent="0.25">
      <c r="A253" s="103" t="s">
        <v>377</v>
      </c>
      <c r="B253" s="7" t="s">
        <v>290</v>
      </c>
      <c r="C253" s="28" t="s">
        <v>307</v>
      </c>
      <c r="D253" s="4">
        <v>122542000</v>
      </c>
      <c r="E253" s="4">
        <v>122542000</v>
      </c>
      <c r="F253" s="4">
        <v>122542000</v>
      </c>
      <c r="G253" s="4">
        <v>122542000</v>
      </c>
      <c r="H253" s="4">
        <v>122542000</v>
      </c>
      <c r="I253" s="4">
        <v>10211800</v>
      </c>
      <c r="J253" s="4">
        <v>10211800</v>
      </c>
      <c r="K253" s="4">
        <v>20423700</v>
      </c>
      <c r="L253" s="4">
        <f>I253+J253+K253</f>
        <v>40847300</v>
      </c>
      <c r="M253" s="4"/>
      <c r="N253" s="4">
        <f>10211800+10211900</f>
        <v>20423700</v>
      </c>
      <c r="O253" s="4"/>
      <c r="P253" s="4">
        <f t="shared" si="274"/>
        <v>20423700</v>
      </c>
      <c r="Q253" s="4">
        <f t="shared" si="266"/>
        <v>61271000</v>
      </c>
      <c r="R253" s="4">
        <v>10211800</v>
      </c>
      <c r="S253" s="4">
        <v>10211800</v>
      </c>
      <c r="T253" s="4">
        <v>10211900</v>
      </c>
      <c r="U253" s="4">
        <f t="shared" si="242"/>
        <v>30635500</v>
      </c>
      <c r="V253" s="4">
        <f t="shared" si="243"/>
        <v>91906500</v>
      </c>
      <c r="W253" s="4">
        <v>10211800</v>
      </c>
      <c r="X253" s="67">
        <v>10211800</v>
      </c>
      <c r="Y253" s="4">
        <v>10211900</v>
      </c>
      <c r="Z253" s="4">
        <f t="shared" si="245"/>
        <v>122542000</v>
      </c>
      <c r="AA253" s="5">
        <f t="shared" si="249"/>
        <v>75</v>
      </c>
      <c r="AB253" s="4">
        <f t="shared" si="231"/>
        <v>0</v>
      </c>
      <c r="AC253" s="4">
        <f t="shared" si="232"/>
        <v>100</v>
      </c>
    </row>
    <row r="254" spans="1:29" s="16" customFormat="1" ht="56.4" customHeight="1" x14ac:dyDescent="0.25">
      <c r="A254" s="32" t="s">
        <v>311</v>
      </c>
      <c r="B254" s="7" t="s">
        <v>312</v>
      </c>
      <c r="C254" s="28" t="s">
        <v>307</v>
      </c>
      <c r="D254" s="4">
        <v>30204600</v>
      </c>
      <c r="E254" s="4">
        <v>30204600</v>
      </c>
      <c r="F254" s="4">
        <v>30204600</v>
      </c>
      <c r="G254" s="4">
        <v>30204600</v>
      </c>
      <c r="H254" s="4">
        <v>30204600</v>
      </c>
      <c r="I254" s="4">
        <v>0</v>
      </c>
      <c r="J254" s="4"/>
      <c r="K254" s="4"/>
      <c r="L254" s="4">
        <f>I254+J254+K254</f>
        <v>0</v>
      </c>
      <c r="M254" s="4"/>
      <c r="N254" s="4"/>
      <c r="O254" s="4"/>
      <c r="P254" s="4">
        <f>M254+N254+O254</f>
        <v>0</v>
      </c>
      <c r="Q254" s="4">
        <f t="shared" si="266"/>
        <v>0</v>
      </c>
      <c r="R254" s="4"/>
      <c r="S254" s="4"/>
      <c r="T254" s="4"/>
      <c r="U254" s="4">
        <f t="shared" si="242"/>
        <v>0</v>
      </c>
      <c r="V254" s="4">
        <f t="shared" si="243"/>
        <v>0</v>
      </c>
      <c r="W254" s="4">
        <f>860071.2+545451.56+1709419.64</f>
        <v>3114942.4</v>
      </c>
      <c r="X254" s="67">
        <v>1218149.48</v>
      </c>
      <c r="Y254" s="4">
        <f>1416373.02+730541.5+2972854.39+20037329.45+21497.71</f>
        <v>25178596.07</v>
      </c>
      <c r="Z254" s="4">
        <f t="shared" si="245"/>
        <v>29511687.949999999</v>
      </c>
      <c r="AA254" s="5">
        <f t="shared" si="249"/>
        <v>0</v>
      </c>
      <c r="AB254" s="4">
        <f t="shared" si="231"/>
        <v>-692912.05000000075</v>
      </c>
      <c r="AC254" s="4">
        <f t="shared" si="232"/>
        <v>97.705938664971555</v>
      </c>
    </row>
    <row r="255" spans="1:29" s="16" customFormat="1" ht="42" customHeight="1" x14ac:dyDescent="0.25">
      <c r="A255" s="32" t="s">
        <v>500</v>
      </c>
      <c r="B255" s="7" t="s">
        <v>312</v>
      </c>
      <c r="C255" s="28" t="s">
        <v>307</v>
      </c>
      <c r="D255" s="4"/>
      <c r="E255" s="4">
        <v>185144</v>
      </c>
      <c r="F255" s="4">
        <v>185144</v>
      </c>
      <c r="G255" s="4">
        <v>185144</v>
      </c>
      <c r="H255" s="4">
        <v>185144</v>
      </c>
      <c r="I255" s="4">
        <v>0</v>
      </c>
      <c r="J255" s="4"/>
      <c r="K255" s="4"/>
      <c r="L255" s="4"/>
      <c r="M255" s="4"/>
      <c r="N255" s="4"/>
      <c r="O255" s="4">
        <f>16008+27449.65</f>
        <v>43457.65</v>
      </c>
      <c r="P255" s="4">
        <f t="shared" ref="P255:P256" si="275">M255+N255+O255</f>
        <v>43457.65</v>
      </c>
      <c r="Q255" s="4">
        <f t="shared" si="266"/>
        <v>43457.65</v>
      </c>
      <c r="R255" s="4"/>
      <c r="S255" s="4"/>
      <c r="T255" s="4">
        <v>34800</v>
      </c>
      <c r="U255" s="4">
        <f t="shared" si="242"/>
        <v>34800</v>
      </c>
      <c r="V255" s="4">
        <f t="shared" si="243"/>
        <v>78257.649999999994</v>
      </c>
      <c r="W255" s="4">
        <f>59160+20880+26846.35</f>
        <v>106886.35</v>
      </c>
      <c r="X255" s="67"/>
      <c r="Y255" s="4"/>
      <c r="Z255" s="4">
        <f t="shared" si="245"/>
        <v>185144</v>
      </c>
      <c r="AA255" s="5">
        <f t="shared" si="249"/>
        <v>42.26853152141036</v>
      </c>
      <c r="AB255" s="4">
        <f t="shared" si="231"/>
        <v>0</v>
      </c>
      <c r="AC255" s="4">
        <f t="shared" si="232"/>
        <v>100</v>
      </c>
    </row>
    <row r="256" spans="1:29" s="16" customFormat="1" ht="59.4" customHeight="1" x14ac:dyDescent="0.25">
      <c r="A256" s="32" t="s">
        <v>506</v>
      </c>
      <c r="B256" s="7" t="s">
        <v>312</v>
      </c>
      <c r="C256" s="28" t="s">
        <v>307</v>
      </c>
      <c r="D256" s="4"/>
      <c r="E256" s="4">
        <v>185144</v>
      </c>
      <c r="F256" s="4">
        <v>185144</v>
      </c>
      <c r="G256" s="4">
        <v>406743</v>
      </c>
      <c r="H256" s="4">
        <v>406743</v>
      </c>
      <c r="I256" s="4">
        <v>0</v>
      </c>
      <c r="J256" s="4"/>
      <c r="K256" s="4"/>
      <c r="L256" s="4"/>
      <c r="M256" s="4"/>
      <c r="N256" s="4"/>
      <c r="O256" s="4"/>
      <c r="P256" s="4">
        <f t="shared" si="275"/>
        <v>0</v>
      </c>
      <c r="Q256" s="4">
        <f t="shared" si="266"/>
        <v>0</v>
      </c>
      <c r="R256" s="4"/>
      <c r="S256" s="4"/>
      <c r="T256" s="4">
        <v>73480.2</v>
      </c>
      <c r="U256" s="4">
        <f t="shared" si="242"/>
        <v>73480.2</v>
      </c>
      <c r="V256" s="4">
        <f t="shared" si="243"/>
        <v>73480.2</v>
      </c>
      <c r="W256" s="4">
        <f>58470.96+10005+20566.8</f>
        <v>89042.76</v>
      </c>
      <c r="X256" s="67">
        <f>51963.96+122438.58</f>
        <v>174402.54</v>
      </c>
      <c r="Y256" s="4">
        <v>69817.5</v>
      </c>
      <c r="Z256" s="4">
        <f t="shared" si="245"/>
        <v>406743</v>
      </c>
      <c r="AA256" s="5">
        <f t="shared" si="249"/>
        <v>18.065510654147705</v>
      </c>
      <c r="AB256" s="4">
        <f t="shared" si="231"/>
        <v>0</v>
      </c>
      <c r="AC256" s="4">
        <f t="shared" si="232"/>
        <v>100</v>
      </c>
    </row>
    <row r="257" spans="1:29" s="16" customFormat="1" ht="42" customHeight="1" x14ac:dyDescent="0.25">
      <c r="A257" s="32" t="s">
        <v>521</v>
      </c>
      <c r="B257" s="7" t="s">
        <v>312</v>
      </c>
      <c r="C257" s="28" t="s">
        <v>307</v>
      </c>
      <c r="D257" s="4">
        <v>30204600</v>
      </c>
      <c r="E257" s="4">
        <v>30204600</v>
      </c>
      <c r="F257" s="4">
        <v>30204600</v>
      </c>
      <c r="G257" s="4">
        <v>30204600</v>
      </c>
      <c r="H257" s="4">
        <v>255981.6</v>
      </c>
      <c r="I257" s="4">
        <v>0</v>
      </c>
      <c r="J257" s="4"/>
      <c r="K257" s="4"/>
      <c r="L257" s="4">
        <f>I257+J257+K257</f>
        <v>0</v>
      </c>
      <c r="M257" s="4"/>
      <c r="N257" s="4"/>
      <c r="O257" s="4"/>
      <c r="P257" s="4">
        <f>M257+N257+O257</f>
        <v>0</v>
      </c>
      <c r="Q257" s="4">
        <f t="shared" si="266"/>
        <v>0</v>
      </c>
      <c r="R257" s="4"/>
      <c r="S257" s="4"/>
      <c r="T257" s="4">
        <v>255981.6</v>
      </c>
      <c r="U257" s="4">
        <f t="shared" si="242"/>
        <v>255981.6</v>
      </c>
      <c r="V257" s="4">
        <f t="shared" si="243"/>
        <v>255981.6</v>
      </c>
      <c r="W257" s="4"/>
      <c r="X257" s="67"/>
      <c r="Y257" s="4"/>
      <c r="Z257" s="4">
        <f t="shared" si="245"/>
        <v>255981.6</v>
      </c>
      <c r="AA257" s="5">
        <f t="shared" si="249"/>
        <v>100</v>
      </c>
      <c r="AB257" s="4">
        <f t="shared" si="231"/>
        <v>0</v>
      </c>
      <c r="AC257" s="4">
        <f t="shared" si="232"/>
        <v>100</v>
      </c>
    </row>
    <row r="258" spans="1:29" s="16" customFormat="1" ht="42" customHeight="1" x14ac:dyDescent="0.25">
      <c r="A258" s="34" t="s">
        <v>556</v>
      </c>
      <c r="B258" s="7" t="s">
        <v>239</v>
      </c>
      <c r="C258" s="28" t="s">
        <v>307</v>
      </c>
      <c r="D258" s="4">
        <v>10000000</v>
      </c>
      <c r="E258" s="4">
        <v>10000000</v>
      </c>
      <c r="F258" s="4">
        <v>10000000</v>
      </c>
      <c r="G258" s="4">
        <v>10000000</v>
      </c>
      <c r="H258" s="4">
        <v>10000000</v>
      </c>
      <c r="I258" s="4">
        <v>0</v>
      </c>
      <c r="J258" s="4"/>
      <c r="K258" s="4"/>
      <c r="L258" s="4">
        <f>I258+J258+K258</f>
        <v>0</v>
      </c>
      <c r="M258" s="4"/>
      <c r="N258" s="4">
        <v>320491.96000000002</v>
      </c>
      <c r="O258" s="4"/>
      <c r="P258" s="4">
        <f t="shared" si="274"/>
        <v>320491.96000000002</v>
      </c>
      <c r="Q258" s="4">
        <f t="shared" si="266"/>
        <v>320491.96000000002</v>
      </c>
      <c r="R258" s="4">
        <v>433456.1</v>
      </c>
      <c r="S258" s="4"/>
      <c r="T258" s="4">
        <f>1202442.08+755618.6+4717132.31+453704.46</f>
        <v>7128897.4500000002</v>
      </c>
      <c r="U258" s="4">
        <f t="shared" si="242"/>
        <v>7562353.5499999998</v>
      </c>
      <c r="V258" s="4">
        <f t="shared" si="243"/>
        <v>7882845.5099999998</v>
      </c>
      <c r="W258" s="4">
        <v>470103.94</v>
      </c>
      <c r="X258" s="67">
        <f>783934.31+824258.76</f>
        <v>1608193.07</v>
      </c>
      <c r="Y258" s="4">
        <f>25227.35+10548.6</f>
        <v>35775.949999999997</v>
      </c>
      <c r="Z258" s="4">
        <f t="shared" si="245"/>
        <v>9996918.4699999988</v>
      </c>
      <c r="AA258" s="5">
        <f t="shared" si="249"/>
        <v>78.828455099999999</v>
      </c>
      <c r="AB258" s="4">
        <f t="shared" si="231"/>
        <v>-3081.5300000011921</v>
      </c>
      <c r="AC258" s="4">
        <f t="shared" si="232"/>
        <v>99.969184699999985</v>
      </c>
    </row>
    <row r="259" spans="1:29" s="16" customFormat="1" ht="42.6" customHeight="1" x14ac:dyDescent="0.25">
      <c r="A259" s="34" t="s">
        <v>313</v>
      </c>
      <c r="B259" s="7" t="s">
        <v>92</v>
      </c>
      <c r="C259" s="28" t="s">
        <v>307</v>
      </c>
      <c r="D259" s="4">
        <v>1442600</v>
      </c>
      <c r="E259" s="4">
        <v>1442600</v>
      </c>
      <c r="F259" s="4">
        <v>1442600</v>
      </c>
      <c r="G259" s="4">
        <v>1442600</v>
      </c>
      <c r="H259" s="4">
        <f>1442600-400</f>
        <v>1442200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f t="shared" si="266"/>
        <v>0</v>
      </c>
      <c r="R259" s="4">
        <v>0</v>
      </c>
      <c r="S259" s="4">
        <v>1442195.01</v>
      </c>
      <c r="T259" s="4">
        <v>0</v>
      </c>
      <c r="U259" s="4">
        <f t="shared" si="242"/>
        <v>1442195.01</v>
      </c>
      <c r="V259" s="4">
        <f t="shared" si="243"/>
        <v>1442195.01</v>
      </c>
      <c r="W259" s="4"/>
      <c r="X259" s="67"/>
      <c r="Y259" s="4"/>
      <c r="Z259" s="4">
        <f t="shared" si="245"/>
        <v>1442195.01</v>
      </c>
      <c r="AA259" s="5">
        <f t="shared" si="249"/>
        <v>99.999654000832066</v>
      </c>
      <c r="AB259" s="4">
        <f t="shared" si="231"/>
        <v>-4.9899999999906868</v>
      </c>
      <c r="AC259" s="4">
        <f t="shared" si="232"/>
        <v>99.999654000832066</v>
      </c>
    </row>
    <row r="260" spans="1:29" s="16" customFormat="1" ht="52.8" x14ac:dyDescent="0.25">
      <c r="A260" s="34" t="s">
        <v>501</v>
      </c>
      <c r="B260" s="7" t="s">
        <v>92</v>
      </c>
      <c r="C260" s="28" t="s">
        <v>307</v>
      </c>
      <c r="D260" s="4"/>
      <c r="E260" s="4">
        <v>1200300</v>
      </c>
      <c r="F260" s="4">
        <v>1200300</v>
      </c>
      <c r="G260" s="4">
        <v>1200300</v>
      </c>
      <c r="H260" s="4">
        <v>1200300</v>
      </c>
      <c r="I260" s="4">
        <v>0</v>
      </c>
      <c r="J260" s="4"/>
      <c r="K260" s="4"/>
      <c r="L260" s="4"/>
      <c r="M260" s="4"/>
      <c r="N260" s="4"/>
      <c r="O260" s="4"/>
      <c r="P260" s="4">
        <v>0</v>
      </c>
      <c r="Q260" s="4">
        <f t="shared" si="266"/>
        <v>0</v>
      </c>
      <c r="R260" s="4"/>
      <c r="S260" s="4"/>
      <c r="T260" s="4"/>
      <c r="U260" s="4">
        <f t="shared" si="242"/>
        <v>0</v>
      </c>
      <c r="V260" s="4">
        <f t="shared" si="243"/>
        <v>0</v>
      </c>
      <c r="W260" s="4"/>
      <c r="X260" s="67"/>
      <c r="Y260" s="4">
        <v>880519.22</v>
      </c>
      <c r="Z260" s="4">
        <f t="shared" si="245"/>
        <v>880519.22</v>
      </c>
      <c r="AA260" s="5">
        <f t="shared" si="249"/>
        <v>0</v>
      </c>
      <c r="AB260" s="4">
        <f t="shared" si="231"/>
        <v>-319780.78000000003</v>
      </c>
      <c r="AC260" s="4">
        <f t="shared" si="232"/>
        <v>73.358262101141378</v>
      </c>
    </row>
    <row r="261" spans="1:29" s="16" customFormat="1" ht="39.6" x14ac:dyDescent="0.25">
      <c r="A261" s="34" t="s">
        <v>519</v>
      </c>
      <c r="B261" s="7" t="s">
        <v>92</v>
      </c>
      <c r="C261" s="28" t="s">
        <v>307</v>
      </c>
      <c r="D261" s="4"/>
      <c r="E261" s="4">
        <v>1200300</v>
      </c>
      <c r="F261" s="4">
        <v>1200300</v>
      </c>
      <c r="G261" s="4">
        <v>1200300</v>
      </c>
      <c r="H261" s="4">
        <f>18221700+31306300</f>
        <v>49528000</v>
      </c>
      <c r="I261" s="4">
        <v>0</v>
      </c>
      <c r="J261" s="4"/>
      <c r="K261" s="4"/>
      <c r="L261" s="4"/>
      <c r="M261" s="4"/>
      <c r="N261" s="4"/>
      <c r="O261" s="4"/>
      <c r="P261" s="4">
        <v>0</v>
      </c>
      <c r="Q261" s="4">
        <f t="shared" si="266"/>
        <v>0</v>
      </c>
      <c r="R261" s="4"/>
      <c r="S261" s="4"/>
      <c r="T261" s="4"/>
      <c r="U261" s="4">
        <f t="shared" si="242"/>
        <v>0</v>
      </c>
      <c r="V261" s="4">
        <f t="shared" si="243"/>
        <v>0</v>
      </c>
      <c r="W261" s="4"/>
      <c r="X261" s="67"/>
      <c r="Y261" s="4">
        <f>2913361.22</f>
        <v>2913361.22</v>
      </c>
      <c r="Z261" s="4">
        <f t="shared" si="245"/>
        <v>2913361.22</v>
      </c>
      <c r="AA261" s="5">
        <f t="shared" si="249"/>
        <v>0</v>
      </c>
      <c r="AB261" s="4">
        <f t="shared" si="231"/>
        <v>-46614638.780000001</v>
      </c>
      <c r="AC261" s="4">
        <f t="shared" si="232"/>
        <v>5.882250888386368</v>
      </c>
    </row>
    <row r="262" spans="1:29" s="16" customFormat="1" ht="18" customHeight="1" x14ac:dyDescent="0.25">
      <c r="A262" s="1" t="s">
        <v>314</v>
      </c>
      <c r="B262" s="7" t="s">
        <v>5</v>
      </c>
      <c r="C262" s="3" t="s">
        <v>315</v>
      </c>
      <c r="D262" s="4">
        <f t="shared" ref="D262:P262" si="276">+D263+D265+D282+D278+D280</f>
        <v>1512198500</v>
      </c>
      <c r="E262" s="4">
        <f t="shared" si="276"/>
        <v>1512198500</v>
      </c>
      <c r="F262" s="4">
        <f t="shared" si="276"/>
        <v>1512198500</v>
      </c>
      <c r="G262" s="4">
        <f t="shared" si="276"/>
        <v>1523184900</v>
      </c>
      <c r="H262" s="4">
        <f t="shared" si="276"/>
        <v>1814778600</v>
      </c>
      <c r="I262" s="4">
        <f t="shared" si="276"/>
        <v>127499215.31</v>
      </c>
      <c r="J262" s="4">
        <f t="shared" si="276"/>
        <v>130086697.64</v>
      </c>
      <c r="K262" s="4">
        <f t="shared" si="276"/>
        <v>243856343.19</v>
      </c>
      <c r="L262" s="4">
        <f t="shared" si="276"/>
        <v>501442256.13999999</v>
      </c>
      <c r="M262" s="4">
        <f t="shared" si="276"/>
        <v>139559975.72</v>
      </c>
      <c r="N262" s="4">
        <f t="shared" si="276"/>
        <v>178228815.41999999</v>
      </c>
      <c r="O262" s="4">
        <f t="shared" si="276"/>
        <v>171228339.77000001</v>
      </c>
      <c r="P262" s="4">
        <f t="shared" si="276"/>
        <v>489017130.91000003</v>
      </c>
      <c r="Q262" s="4">
        <f t="shared" si="266"/>
        <v>990459387.04999995</v>
      </c>
      <c r="R262" s="4">
        <f>+R263+R265+R282+R278+R280</f>
        <v>129978671.59999999</v>
      </c>
      <c r="S262" s="4">
        <f>+S263+S265+S282+S278+S280</f>
        <v>74906721.390000001</v>
      </c>
      <c r="T262" s="4">
        <f>+T263+T265+T282+T278+T280</f>
        <v>80392721.959999993</v>
      </c>
      <c r="U262" s="4">
        <f t="shared" si="242"/>
        <v>285278114.94999999</v>
      </c>
      <c r="V262" s="4">
        <f t="shared" si="243"/>
        <v>1275737502</v>
      </c>
      <c r="W262" s="4">
        <f>+W263+W265+W282+W278+W280</f>
        <v>230127295.31</v>
      </c>
      <c r="X262" s="67">
        <f>+X263+X265+X282+X278+X280</f>
        <v>96754978.590000004</v>
      </c>
      <c r="Y262" s="4">
        <f>+Y263+Y265+Y282+Y278+Y280</f>
        <v>211047967.09999999</v>
      </c>
      <c r="Z262" s="4">
        <f t="shared" si="245"/>
        <v>1813667742.9999998</v>
      </c>
      <c r="AA262" s="5">
        <f t="shared" si="249"/>
        <v>70.297142692778053</v>
      </c>
      <c r="AB262" s="4">
        <f t="shared" si="231"/>
        <v>-1110857.0000002384</v>
      </c>
      <c r="AC262" s="4">
        <f t="shared" si="232"/>
        <v>99.938788290758978</v>
      </c>
    </row>
    <row r="263" spans="1:29" s="35" customFormat="1" ht="39.6" x14ac:dyDescent="0.3">
      <c r="A263" s="1" t="s">
        <v>316</v>
      </c>
      <c r="B263" s="7" t="s">
        <v>5</v>
      </c>
      <c r="C263" s="3" t="s">
        <v>317</v>
      </c>
      <c r="D263" s="4">
        <f t="shared" ref="D263:T263" si="277">+D264</f>
        <v>55718300</v>
      </c>
      <c r="E263" s="4">
        <f t="shared" si="277"/>
        <v>55718300</v>
      </c>
      <c r="F263" s="4">
        <f t="shared" si="277"/>
        <v>55718300</v>
      </c>
      <c r="G263" s="4">
        <f t="shared" si="277"/>
        <v>55718300</v>
      </c>
      <c r="H263" s="4">
        <f t="shared" si="277"/>
        <v>53126300</v>
      </c>
      <c r="I263" s="4">
        <f t="shared" si="277"/>
        <v>5204832.62</v>
      </c>
      <c r="J263" s="4">
        <f t="shared" si="277"/>
        <v>4886273.4400000004</v>
      </c>
      <c r="K263" s="4">
        <f t="shared" si="277"/>
        <v>4718490.9000000004</v>
      </c>
      <c r="L263" s="4">
        <f t="shared" si="277"/>
        <v>14809596.960000001</v>
      </c>
      <c r="M263" s="4">
        <f t="shared" si="277"/>
        <v>4095312.72</v>
      </c>
      <c r="N263" s="4">
        <f t="shared" si="277"/>
        <v>4330500.9000000004</v>
      </c>
      <c r="O263" s="4">
        <f t="shared" si="277"/>
        <v>4183365.19</v>
      </c>
      <c r="P263" s="4">
        <f t="shared" si="277"/>
        <v>12609178.810000001</v>
      </c>
      <c r="Q263" s="4">
        <f t="shared" si="266"/>
        <v>27418775.770000003</v>
      </c>
      <c r="R263" s="4">
        <f t="shared" si="277"/>
        <v>4122699.76</v>
      </c>
      <c r="S263" s="4">
        <f t="shared" si="277"/>
        <v>3911364.1799999997</v>
      </c>
      <c r="T263" s="4">
        <f t="shared" si="277"/>
        <v>4117617.7600000002</v>
      </c>
      <c r="U263" s="4">
        <f t="shared" si="242"/>
        <v>12151681.699999999</v>
      </c>
      <c r="V263" s="4">
        <f t="shared" si="243"/>
        <v>39570457.469999999</v>
      </c>
      <c r="W263" s="4">
        <f t="shared" ref="W263:Y263" si="278">+W264</f>
        <v>4541041.66</v>
      </c>
      <c r="X263" s="67">
        <f t="shared" si="278"/>
        <v>4581092.8600000003</v>
      </c>
      <c r="Y263" s="4">
        <f t="shared" si="278"/>
        <v>4433708.01</v>
      </c>
      <c r="Z263" s="4">
        <f t="shared" si="245"/>
        <v>53126299.999999993</v>
      </c>
      <c r="AA263" s="5">
        <f t="shared" si="249"/>
        <v>74.483744341314946</v>
      </c>
      <c r="AB263" s="4">
        <f t="shared" si="231"/>
        <v>0</v>
      </c>
      <c r="AC263" s="4">
        <f t="shared" si="232"/>
        <v>99.999999999999986</v>
      </c>
    </row>
    <row r="264" spans="1:29" s="35" customFormat="1" ht="39.6" x14ac:dyDescent="0.3">
      <c r="A264" s="19" t="s">
        <v>380</v>
      </c>
      <c r="B264" s="7" t="s">
        <v>92</v>
      </c>
      <c r="C264" s="3" t="s">
        <v>318</v>
      </c>
      <c r="D264" s="33">
        <v>55718300</v>
      </c>
      <c r="E264" s="33">
        <v>55718300</v>
      </c>
      <c r="F264" s="33">
        <v>55718300</v>
      </c>
      <c r="G264" s="33">
        <v>55718300</v>
      </c>
      <c r="H264" s="33">
        <v>53126300</v>
      </c>
      <c r="I264" s="33">
        <v>5204832.62</v>
      </c>
      <c r="J264" s="33">
        <v>4886273.4400000004</v>
      </c>
      <c r="K264" s="33">
        <v>4718490.9000000004</v>
      </c>
      <c r="L264" s="4">
        <f>I264+J264+K264</f>
        <v>14809596.960000001</v>
      </c>
      <c r="M264" s="33">
        <f>307115.75+3788196.97</f>
        <v>4095312.72</v>
      </c>
      <c r="N264" s="33">
        <v>4330500.9000000004</v>
      </c>
      <c r="O264" s="33">
        <v>4183365.19</v>
      </c>
      <c r="P264" s="4">
        <f t="shared" ref="P264" si="279">M264+N264+O264</f>
        <v>12609178.810000001</v>
      </c>
      <c r="Q264" s="4">
        <f t="shared" si="266"/>
        <v>27418775.770000003</v>
      </c>
      <c r="R264" s="33">
        <v>4122699.76</v>
      </c>
      <c r="S264" s="33">
        <f>294450.36+3616913.82</f>
        <v>3911364.1799999997</v>
      </c>
      <c r="T264" s="33">
        <f>417728.77+3699888.99</f>
        <v>4117617.7600000002</v>
      </c>
      <c r="U264" s="4">
        <f t="shared" si="242"/>
        <v>12151681.699999999</v>
      </c>
      <c r="V264" s="4">
        <f t="shared" si="243"/>
        <v>39570457.469999999</v>
      </c>
      <c r="W264" s="33">
        <f>755998.89+3785042.77</f>
        <v>4541041.66</v>
      </c>
      <c r="X264" s="71">
        <f>841987.89+3739104.97</f>
        <v>4581092.8600000003</v>
      </c>
      <c r="Y264" s="33">
        <f>741472.36+3692235.65</f>
        <v>4433708.01</v>
      </c>
      <c r="Z264" s="4">
        <f t="shared" si="245"/>
        <v>53126299.999999993</v>
      </c>
      <c r="AA264" s="5">
        <f t="shared" si="249"/>
        <v>74.483744341314946</v>
      </c>
      <c r="AB264" s="4">
        <f t="shared" si="231"/>
        <v>0</v>
      </c>
      <c r="AC264" s="4">
        <f t="shared" si="232"/>
        <v>99.999999999999986</v>
      </c>
    </row>
    <row r="265" spans="1:29" s="16" customFormat="1" ht="26.4" x14ac:dyDescent="0.25">
      <c r="A265" s="1" t="s">
        <v>319</v>
      </c>
      <c r="B265" s="7" t="s">
        <v>5</v>
      </c>
      <c r="C265" s="7" t="s">
        <v>320</v>
      </c>
      <c r="D265" s="4">
        <f t="shared" ref="D265:T265" si="280">+D266</f>
        <v>30165600</v>
      </c>
      <c r="E265" s="4">
        <f t="shared" si="280"/>
        <v>30165600</v>
      </c>
      <c r="F265" s="4">
        <f t="shared" si="280"/>
        <v>30165600</v>
      </c>
      <c r="G265" s="4">
        <f t="shared" si="280"/>
        <v>31155000</v>
      </c>
      <c r="H265" s="4">
        <f t="shared" si="280"/>
        <v>26075800</v>
      </c>
      <c r="I265" s="4">
        <f t="shared" si="280"/>
        <v>994382.69</v>
      </c>
      <c r="J265" s="4">
        <f t="shared" si="280"/>
        <v>3179224.2</v>
      </c>
      <c r="K265" s="4">
        <f t="shared" si="280"/>
        <v>3339216.29</v>
      </c>
      <c r="L265" s="4">
        <f t="shared" si="280"/>
        <v>7512823.1799999997</v>
      </c>
      <c r="M265" s="4">
        <f t="shared" si="280"/>
        <v>797363</v>
      </c>
      <c r="N265" s="4">
        <f t="shared" si="280"/>
        <v>2750814.52</v>
      </c>
      <c r="O265" s="4">
        <f t="shared" si="280"/>
        <v>1057974.58</v>
      </c>
      <c r="P265" s="4">
        <f t="shared" si="280"/>
        <v>4606152.0999999996</v>
      </c>
      <c r="Q265" s="4">
        <f t="shared" si="266"/>
        <v>12118975.279999999</v>
      </c>
      <c r="R265" s="4">
        <f t="shared" si="280"/>
        <v>1225971.8400000001</v>
      </c>
      <c r="S265" s="4">
        <f t="shared" si="280"/>
        <v>786357.21000000008</v>
      </c>
      <c r="T265" s="4">
        <f t="shared" si="280"/>
        <v>1107104.2</v>
      </c>
      <c r="U265" s="4">
        <f t="shared" si="242"/>
        <v>3119433.25</v>
      </c>
      <c r="V265" s="4">
        <f t="shared" si="243"/>
        <v>15238408.529999999</v>
      </c>
      <c r="W265" s="4">
        <f t="shared" ref="W265:Y265" si="281">+W266</f>
        <v>4421253.6500000004</v>
      </c>
      <c r="X265" s="67">
        <f t="shared" si="281"/>
        <v>1542785.73</v>
      </c>
      <c r="Y265" s="4">
        <f t="shared" si="281"/>
        <v>3762495.09</v>
      </c>
      <c r="Z265" s="4">
        <f t="shared" si="245"/>
        <v>24964943</v>
      </c>
      <c r="AA265" s="5">
        <f t="shared" si="249"/>
        <v>58.43889173103031</v>
      </c>
      <c r="AB265" s="4">
        <f t="shared" si="231"/>
        <v>-1110857</v>
      </c>
      <c r="AC265" s="4">
        <f t="shared" si="232"/>
        <v>95.739892927542016</v>
      </c>
    </row>
    <row r="266" spans="1:29" s="35" customFormat="1" ht="29.4" customHeight="1" x14ac:dyDescent="0.3">
      <c r="A266" s="1" t="s">
        <v>321</v>
      </c>
      <c r="B266" s="7" t="s">
        <v>5</v>
      </c>
      <c r="C266" s="7" t="s">
        <v>322</v>
      </c>
      <c r="D266" s="4">
        <f t="shared" ref="D266:P266" si="282">SUM(D267:D277)</f>
        <v>30165600</v>
      </c>
      <c r="E266" s="4">
        <f t="shared" si="282"/>
        <v>30165600</v>
      </c>
      <c r="F266" s="4">
        <f t="shared" si="282"/>
        <v>30165600</v>
      </c>
      <c r="G266" s="4">
        <f t="shared" si="282"/>
        <v>31155000</v>
      </c>
      <c r="H266" s="4">
        <f t="shared" si="282"/>
        <v>26075800</v>
      </c>
      <c r="I266" s="4">
        <f t="shared" si="282"/>
        <v>994382.69</v>
      </c>
      <c r="J266" s="4">
        <f t="shared" si="282"/>
        <v>3179224.2</v>
      </c>
      <c r="K266" s="4">
        <f t="shared" si="282"/>
        <v>3339216.29</v>
      </c>
      <c r="L266" s="4">
        <f t="shared" si="282"/>
        <v>7512823.1799999997</v>
      </c>
      <c r="M266" s="4">
        <f t="shared" si="282"/>
        <v>797363</v>
      </c>
      <c r="N266" s="4">
        <f t="shared" si="282"/>
        <v>2750814.52</v>
      </c>
      <c r="O266" s="4">
        <f t="shared" si="282"/>
        <v>1057974.58</v>
      </c>
      <c r="P266" s="4">
        <f t="shared" si="282"/>
        <v>4606152.0999999996</v>
      </c>
      <c r="Q266" s="4">
        <f t="shared" si="266"/>
        <v>12118975.279999999</v>
      </c>
      <c r="R266" s="4">
        <f>SUM(R267:R277)</f>
        <v>1225971.8400000001</v>
      </c>
      <c r="S266" s="4">
        <f>SUM(S267:S277)</f>
        <v>786357.21000000008</v>
      </c>
      <c r="T266" s="4">
        <f>SUM(T267:T277)</f>
        <v>1107104.2</v>
      </c>
      <c r="U266" s="4">
        <f t="shared" si="242"/>
        <v>3119433.25</v>
      </c>
      <c r="V266" s="4">
        <f t="shared" si="243"/>
        <v>15238408.529999999</v>
      </c>
      <c r="W266" s="4">
        <f>SUM(W267:W277)</f>
        <v>4421253.6500000004</v>
      </c>
      <c r="X266" s="67">
        <f>SUM(X267:X277)</f>
        <v>1542785.73</v>
      </c>
      <c r="Y266" s="4">
        <f>SUM(Y267:Y277)</f>
        <v>3762495.09</v>
      </c>
      <c r="Z266" s="4">
        <f t="shared" si="245"/>
        <v>24964943</v>
      </c>
      <c r="AA266" s="5">
        <f t="shared" si="249"/>
        <v>58.43889173103031</v>
      </c>
      <c r="AB266" s="4">
        <f t="shared" si="231"/>
        <v>-1110857</v>
      </c>
      <c r="AC266" s="4">
        <f t="shared" si="232"/>
        <v>95.739892927542016</v>
      </c>
    </row>
    <row r="267" spans="1:29" s="16" customFormat="1" ht="39.6" x14ac:dyDescent="0.25">
      <c r="A267" s="19" t="s">
        <v>323</v>
      </c>
      <c r="B267" s="7" t="s">
        <v>295</v>
      </c>
      <c r="C267" s="7" t="s">
        <v>322</v>
      </c>
      <c r="D267" s="33">
        <v>15991000</v>
      </c>
      <c r="E267" s="33">
        <v>15991000</v>
      </c>
      <c r="F267" s="33">
        <v>15991000</v>
      </c>
      <c r="G267" s="33">
        <v>15991000</v>
      </c>
      <c r="H267" s="33">
        <v>9692000</v>
      </c>
      <c r="I267" s="33">
        <v>0</v>
      </c>
      <c r="J267" s="33">
        <v>1700000</v>
      </c>
      <c r="K267" s="33">
        <f>741655+958345</f>
        <v>1700000</v>
      </c>
      <c r="L267" s="4">
        <f t="shared" ref="L267:L277" si="283">I267+J267+K267</f>
        <v>3400000</v>
      </c>
      <c r="M267" s="33">
        <f>17139</f>
        <v>17139</v>
      </c>
      <c r="N267" s="33">
        <v>1882365</v>
      </c>
      <c r="O267" s="33">
        <v>92495</v>
      </c>
      <c r="P267" s="4">
        <f t="shared" ref="P267:P277" si="284">M267+N267+O267</f>
        <v>1991999</v>
      </c>
      <c r="Q267" s="4">
        <f t="shared" si="266"/>
        <v>5391999</v>
      </c>
      <c r="R267" s="33"/>
      <c r="S267" s="33"/>
      <c r="T267" s="33"/>
      <c r="U267" s="4">
        <f t="shared" si="242"/>
        <v>0</v>
      </c>
      <c r="V267" s="4">
        <f t="shared" si="243"/>
        <v>5391999</v>
      </c>
      <c r="W267" s="33">
        <f>986745+613000</f>
        <v>1599745</v>
      </c>
      <c r="X267" s="71">
        <f>594636+203000</f>
        <v>797636</v>
      </c>
      <c r="Y267" s="33">
        <f>512997+1183816+1820+27319</f>
        <v>1725952</v>
      </c>
      <c r="Z267" s="67">
        <f t="shared" si="245"/>
        <v>9515332</v>
      </c>
      <c r="AA267" s="5">
        <f t="shared" si="249"/>
        <v>55.633501857201814</v>
      </c>
      <c r="AB267" s="4">
        <f t="shared" si="231"/>
        <v>-176668</v>
      </c>
      <c r="AC267" s="4">
        <f t="shared" si="232"/>
        <v>98.177177053239788</v>
      </c>
    </row>
    <row r="268" spans="1:29" s="16" customFormat="1" ht="70.8" customHeight="1" x14ac:dyDescent="0.25">
      <c r="A268" s="19" t="s">
        <v>324</v>
      </c>
      <c r="B268" s="7" t="s">
        <v>295</v>
      </c>
      <c r="C268" s="7" t="s">
        <v>322</v>
      </c>
      <c r="D268" s="33">
        <f>283900+100</f>
        <v>284000</v>
      </c>
      <c r="E268" s="33">
        <f>283900+100</f>
        <v>284000</v>
      </c>
      <c r="F268" s="33">
        <f>283900+100</f>
        <v>284000</v>
      </c>
      <c r="G268" s="33">
        <f>283900+100</f>
        <v>284000</v>
      </c>
      <c r="H268" s="33">
        <v>38600</v>
      </c>
      <c r="I268" s="33">
        <v>1044</v>
      </c>
      <c r="J268" s="33">
        <v>4176</v>
      </c>
      <c r="K268" s="33">
        <f>3393+4176</f>
        <v>7569</v>
      </c>
      <c r="L268" s="4">
        <f t="shared" si="283"/>
        <v>12789</v>
      </c>
      <c r="M268" s="33"/>
      <c r="N268" s="33">
        <v>5394</v>
      </c>
      <c r="O268" s="33">
        <v>1914</v>
      </c>
      <c r="P268" s="4">
        <f t="shared" si="284"/>
        <v>7308</v>
      </c>
      <c r="Q268" s="4">
        <f t="shared" si="266"/>
        <v>20097</v>
      </c>
      <c r="R268" s="33"/>
      <c r="S268" s="33"/>
      <c r="T268" s="33"/>
      <c r="U268" s="4">
        <f t="shared" si="242"/>
        <v>0</v>
      </c>
      <c r="V268" s="4">
        <f t="shared" si="243"/>
        <v>20097</v>
      </c>
      <c r="W268" s="33">
        <v>2821</v>
      </c>
      <c r="X268" s="71">
        <v>6188</v>
      </c>
      <c r="Y268" s="33">
        <f>2002+2457</f>
        <v>4459</v>
      </c>
      <c r="Z268" s="67">
        <f t="shared" si="245"/>
        <v>33565</v>
      </c>
      <c r="AA268" s="5">
        <f t="shared" si="249"/>
        <v>52.064766839378237</v>
      </c>
      <c r="AB268" s="4">
        <f t="shared" ref="AB268:AB330" si="285">Z268-H268</f>
        <v>-5035</v>
      </c>
      <c r="AC268" s="4">
        <f t="shared" ref="AC268:AC330" si="286">Z268/H268*100</f>
        <v>86.9559585492228</v>
      </c>
    </row>
    <row r="269" spans="1:29" s="16" customFormat="1" ht="28.8" customHeight="1" x14ac:dyDescent="0.25">
      <c r="A269" s="36" t="s">
        <v>325</v>
      </c>
      <c r="B269" s="7" t="s">
        <v>295</v>
      </c>
      <c r="C269" s="7" t="s">
        <v>322</v>
      </c>
      <c r="D269" s="33">
        <v>2610800</v>
      </c>
      <c r="E269" s="33">
        <v>2610800</v>
      </c>
      <c r="F269" s="33">
        <v>2610800</v>
      </c>
      <c r="G269" s="33">
        <v>2610800</v>
      </c>
      <c r="H269" s="33">
        <f>2610800+341800</f>
        <v>2952600</v>
      </c>
      <c r="I269" s="33">
        <v>0</v>
      </c>
      <c r="J269" s="33">
        <v>189951</v>
      </c>
      <c r="K269" s="33">
        <f>238377+354912</f>
        <v>593289</v>
      </c>
      <c r="L269" s="4">
        <f t="shared" si="283"/>
        <v>783240</v>
      </c>
      <c r="M269" s="33"/>
      <c r="N269" s="33">
        <f>180315+95805</f>
        <v>276120</v>
      </c>
      <c r="O269" s="33">
        <f>56148+402</f>
        <v>56550</v>
      </c>
      <c r="P269" s="4">
        <f t="shared" si="284"/>
        <v>332670</v>
      </c>
      <c r="Q269" s="4">
        <f t="shared" si="266"/>
        <v>1115910</v>
      </c>
      <c r="R269" s="33"/>
      <c r="S269" s="33"/>
      <c r="T269" s="33">
        <v>236794.2</v>
      </c>
      <c r="U269" s="4">
        <f t="shared" si="242"/>
        <v>236794.2</v>
      </c>
      <c r="V269" s="4">
        <f t="shared" si="243"/>
        <v>1352704.2</v>
      </c>
      <c r="W269" s="33">
        <f>38552.8+195000</f>
        <v>233552.8</v>
      </c>
      <c r="X269" s="71">
        <f>47751.9+131977.1</f>
        <v>179729</v>
      </c>
      <c r="Y269" s="33">
        <f>14399+245095+459</f>
        <v>259953</v>
      </c>
      <c r="Z269" s="67">
        <f t="shared" si="245"/>
        <v>2025939</v>
      </c>
      <c r="AA269" s="5">
        <f t="shared" si="249"/>
        <v>45.814001219264377</v>
      </c>
      <c r="AB269" s="4">
        <f t="shared" si="285"/>
        <v>-926661</v>
      </c>
      <c r="AC269" s="4">
        <f t="shared" si="286"/>
        <v>68.61542369437106</v>
      </c>
    </row>
    <row r="270" spans="1:29" s="35" customFormat="1" ht="39.6" x14ac:dyDescent="0.3">
      <c r="A270" s="19" t="s">
        <v>326</v>
      </c>
      <c r="B270" s="7" t="s">
        <v>239</v>
      </c>
      <c r="C270" s="7" t="s">
        <v>322</v>
      </c>
      <c r="D270" s="4">
        <v>62800</v>
      </c>
      <c r="E270" s="4">
        <v>62800</v>
      </c>
      <c r="F270" s="4">
        <v>62800</v>
      </c>
      <c r="G270" s="4">
        <v>62800</v>
      </c>
      <c r="H270" s="4">
        <f>62800+6000</f>
        <v>68800</v>
      </c>
      <c r="I270" s="4">
        <v>15700</v>
      </c>
      <c r="J270" s="4"/>
      <c r="K270" s="4"/>
      <c r="L270" s="4">
        <f t="shared" si="283"/>
        <v>15700</v>
      </c>
      <c r="M270" s="4"/>
      <c r="N270" s="4">
        <v>15700</v>
      </c>
      <c r="O270" s="4"/>
      <c r="P270" s="4">
        <f t="shared" si="284"/>
        <v>15700</v>
      </c>
      <c r="Q270" s="4">
        <f t="shared" si="266"/>
        <v>31400</v>
      </c>
      <c r="R270" s="4">
        <v>15700</v>
      </c>
      <c r="S270" s="4"/>
      <c r="T270" s="4"/>
      <c r="U270" s="4">
        <f t="shared" si="242"/>
        <v>15700</v>
      </c>
      <c r="V270" s="4">
        <f t="shared" si="243"/>
        <v>47100</v>
      </c>
      <c r="W270" s="4">
        <v>15700</v>
      </c>
      <c r="X270" s="67"/>
      <c r="Y270" s="4">
        <v>6000</v>
      </c>
      <c r="Z270" s="4">
        <f t="shared" si="245"/>
        <v>68800</v>
      </c>
      <c r="AA270" s="5">
        <f t="shared" si="249"/>
        <v>68.45930232558139</v>
      </c>
      <c r="AB270" s="4">
        <f t="shared" si="285"/>
        <v>0</v>
      </c>
      <c r="AC270" s="4">
        <f t="shared" si="286"/>
        <v>100</v>
      </c>
    </row>
    <row r="271" spans="1:29" s="35" customFormat="1" ht="26.4" x14ac:dyDescent="0.3">
      <c r="A271" s="1" t="s">
        <v>327</v>
      </c>
      <c r="B271" s="7" t="s">
        <v>239</v>
      </c>
      <c r="C271" s="7" t="s">
        <v>322</v>
      </c>
      <c r="D271" s="33">
        <v>177800</v>
      </c>
      <c r="E271" s="33">
        <v>177800</v>
      </c>
      <c r="F271" s="33">
        <v>177800</v>
      </c>
      <c r="G271" s="33">
        <v>177800</v>
      </c>
      <c r="H271" s="33">
        <f>177800+17100</f>
        <v>194900</v>
      </c>
      <c r="I271" s="33">
        <v>44450</v>
      </c>
      <c r="J271" s="33"/>
      <c r="K271" s="33"/>
      <c r="L271" s="4">
        <f t="shared" si="283"/>
        <v>44450</v>
      </c>
      <c r="M271" s="33"/>
      <c r="N271" s="33">
        <v>44450</v>
      </c>
      <c r="O271" s="33"/>
      <c r="P271" s="4">
        <f t="shared" si="284"/>
        <v>44450</v>
      </c>
      <c r="Q271" s="4">
        <f t="shared" si="266"/>
        <v>88900</v>
      </c>
      <c r="R271" s="33">
        <v>44450</v>
      </c>
      <c r="S271" s="33"/>
      <c r="T271" s="33"/>
      <c r="U271" s="4">
        <f t="shared" si="242"/>
        <v>44450</v>
      </c>
      <c r="V271" s="4">
        <f t="shared" si="243"/>
        <v>133350</v>
      </c>
      <c r="W271" s="33">
        <v>44450</v>
      </c>
      <c r="X271" s="71"/>
      <c r="Y271" s="33">
        <v>17100</v>
      </c>
      <c r="Z271" s="4">
        <f t="shared" si="245"/>
        <v>194900</v>
      </c>
      <c r="AA271" s="5">
        <f t="shared" si="249"/>
        <v>68.419702411493077</v>
      </c>
      <c r="AB271" s="4">
        <f t="shared" si="285"/>
        <v>0</v>
      </c>
      <c r="AC271" s="4">
        <f t="shared" si="286"/>
        <v>100</v>
      </c>
    </row>
    <row r="272" spans="1:29" s="35" customFormat="1" ht="60" customHeight="1" x14ac:dyDescent="0.3">
      <c r="A272" s="19" t="s">
        <v>557</v>
      </c>
      <c r="B272" s="7" t="s">
        <v>239</v>
      </c>
      <c r="C272" s="7" t="s">
        <v>322</v>
      </c>
      <c r="D272" s="37">
        <v>3821500</v>
      </c>
      <c r="E272" s="37">
        <v>3821500</v>
      </c>
      <c r="F272" s="37">
        <v>3821500</v>
      </c>
      <c r="G272" s="37">
        <v>3821500</v>
      </c>
      <c r="H272" s="37">
        <f>3821500+482700</f>
        <v>4304200</v>
      </c>
      <c r="I272" s="37">
        <v>318458.33</v>
      </c>
      <c r="J272" s="37">
        <v>393900</v>
      </c>
      <c r="K272" s="38">
        <f>396680</f>
        <v>396680</v>
      </c>
      <c r="L272" s="4">
        <f t="shared" si="283"/>
        <v>1109038.33</v>
      </c>
      <c r="M272" s="37">
        <v>66000</v>
      </c>
      <c r="N272" s="37">
        <v>108846</v>
      </c>
      <c r="O272" s="38">
        <v>357068.76</v>
      </c>
      <c r="P272" s="4">
        <f t="shared" si="284"/>
        <v>531914.76</v>
      </c>
      <c r="Q272" s="4">
        <f t="shared" si="266"/>
        <v>1640953.09</v>
      </c>
      <c r="R272" s="38">
        <v>311848.43</v>
      </c>
      <c r="S272" s="38">
        <v>423162.31</v>
      </c>
      <c r="T272" s="38">
        <v>193560</v>
      </c>
      <c r="U272" s="4">
        <f t="shared" si="242"/>
        <v>928570.74</v>
      </c>
      <c r="V272" s="4">
        <f t="shared" si="243"/>
        <v>2569523.83</v>
      </c>
      <c r="W272" s="38">
        <f>292463+44378.75+623686.71</f>
        <v>960528.46</v>
      </c>
      <c r="X272" s="72"/>
      <c r="Y272" s="38">
        <v>774147.71</v>
      </c>
      <c r="Z272" s="4">
        <f t="shared" si="245"/>
        <v>4304200</v>
      </c>
      <c r="AA272" s="5">
        <f t="shared" si="249"/>
        <v>59.698058408066544</v>
      </c>
      <c r="AB272" s="4">
        <f t="shared" si="285"/>
        <v>0</v>
      </c>
      <c r="AC272" s="4">
        <f t="shared" si="286"/>
        <v>100</v>
      </c>
    </row>
    <row r="273" spans="1:45" s="16" customFormat="1" ht="55.8" customHeight="1" x14ac:dyDescent="0.25">
      <c r="A273" s="19" t="s">
        <v>558</v>
      </c>
      <c r="B273" s="7" t="s">
        <v>239</v>
      </c>
      <c r="C273" s="7" t="s">
        <v>322</v>
      </c>
      <c r="D273" s="33">
        <v>3229900</v>
      </c>
      <c r="E273" s="33">
        <v>3229900</v>
      </c>
      <c r="F273" s="33">
        <v>3229900</v>
      </c>
      <c r="G273" s="33">
        <v>3229900</v>
      </c>
      <c r="H273" s="33">
        <f>3229900+353700</f>
        <v>3583600</v>
      </c>
      <c r="I273" s="33">
        <v>333303.3</v>
      </c>
      <c r="J273" s="33">
        <v>406439</v>
      </c>
      <c r="K273" s="39">
        <f>328460</f>
        <v>328460</v>
      </c>
      <c r="L273" s="4">
        <f t="shared" si="283"/>
        <v>1068202.3</v>
      </c>
      <c r="M273" s="33">
        <f>61600+311300</f>
        <v>372900</v>
      </c>
      <c r="N273" s="33"/>
      <c r="O273" s="39">
        <v>52750.99</v>
      </c>
      <c r="P273" s="4">
        <f t="shared" si="284"/>
        <v>425650.99</v>
      </c>
      <c r="Q273" s="4">
        <f t="shared" si="266"/>
        <v>1493853.29</v>
      </c>
      <c r="R273" s="39">
        <v>474536.89</v>
      </c>
      <c r="S273" s="39">
        <v>145237</v>
      </c>
      <c r="T273" s="39">
        <v>354566</v>
      </c>
      <c r="U273" s="4">
        <f t="shared" si="242"/>
        <v>974339.89</v>
      </c>
      <c r="V273" s="4">
        <f t="shared" si="243"/>
        <v>2468193.1800000002</v>
      </c>
      <c r="W273" s="39">
        <f>145935.2+218854.16+396917.46</f>
        <v>761706.82000000007</v>
      </c>
      <c r="X273" s="73"/>
      <c r="Y273" s="39">
        <v>353700</v>
      </c>
      <c r="Z273" s="4">
        <f t="shared" si="245"/>
        <v>3583600</v>
      </c>
      <c r="AA273" s="5">
        <f t="shared" si="249"/>
        <v>68.874684116530872</v>
      </c>
      <c r="AB273" s="4">
        <f t="shared" si="285"/>
        <v>0</v>
      </c>
      <c r="AC273" s="4">
        <f t="shared" si="286"/>
        <v>100</v>
      </c>
    </row>
    <row r="274" spans="1:45" s="35" customFormat="1" ht="26.4" x14ac:dyDescent="0.3">
      <c r="A274" s="1" t="s">
        <v>559</v>
      </c>
      <c r="B274" s="7" t="s">
        <v>239</v>
      </c>
      <c r="C274" s="7" t="s">
        <v>322</v>
      </c>
      <c r="D274" s="37">
        <v>1077800</v>
      </c>
      <c r="E274" s="37">
        <v>1077800</v>
      </c>
      <c r="F274" s="37">
        <v>1077800</v>
      </c>
      <c r="G274" s="37">
        <v>1077800</v>
      </c>
      <c r="H274" s="37">
        <f>1077800+38200</f>
        <v>1116000</v>
      </c>
      <c r="I274" s="37">
        <v>100000</v>
      </c>
      <c r="J274" s="37">
        <v>100000</v>
      </c>
      <c r="K274" s="38">
        <v>100000</v>
      </c>
      <c r="L274" s="4">
        <f t="shared" si="283"/>
        <v>300000</v>
      </c>
      <c r="M274" s="37">
        <v>100000</v>
      </c>
      <c r="N274" s="37">
        <v>85000</v>
      </c>
      <c r="O274" s="38">
        <v>85000</v>
      </c>
      <c r="P274" s="4">
        <f t="shared" si="284"/>
        <v>270000</v>
      </c>
      <c r="Q274" s="4">
        <f t="shared" si="266"/>
        <v>570000</v>
      </c>
      <c r="R274" s="38">
        <v>67000</v>
      </c>
      <c r="S274" s="38">
        <v>112500</v>
      </c>
      <c r="T274" s="38">
        <v>114000</v>
      </c>
      <c r="U274" s="4">
        <f t="shared" si="242"/>
        <v>293500</v>
      </c>
      <c r="V274" s="4">
        <f t="shared" si="243"/>
        <v>863500</v>
      </c>
      <c r="W274" s="38">
        <v>73315.009999999995</v>
      </c>
      <c r="X274" s="72">
        <v>103170.55</v>
      </c>
      <c r="Y274" s="38">
        <v>76014.44</v>
      </c>
      <c r="Z274" s="4">
        <f t="shared" si="245"/>
        <v>1116000</v>
      </c>
      <c r="AA274" s="5">
        <f t="shared" si="249"/>
        <v>77.37455197132617</v>
      </c>
      <c r="AB274" s="4">
        <f t="shared" si="285"/>
        <v>0</v>
      </c>
      <c r="AC274" s="4">
        <f t="shared" si="286"/>
        <v>100</v>
      </c>
    </row>
    <row r="275" spans="1:45" s="35" customFormat="1" ht="75" customHeight="1" x14ac:dyDescent="0.3">
      <c r="A275" s="1" t="s">
        <v>328</v>
      </c>
      <c r="B275" s="7" t="s">
        <v>239</v>
      </c>
      <c r="C275" s="7" t="s">
        <v>322</v>
      </c>
      <c r="D275" s="40">
        <v>700</v>
      </c>
      <c r="E275" s="40">
        <v>700</v>
      </c>
      <c r="F275" s="40">
        <v>700</v>
      </c>
      <c r="G275" s="40">
        <v>700</v>
      </c>
      <c r="H275" s="40">
        <v>700</v>
      </c>
      <c r="I275" s="40">
        <v>0</v>
      </c>
      <c r="J275" s="40">
        <v>0</v>
      </c>
      <c r="K275" s="41"/>
      <c r="L275" s="4">
        <f t="shared" si="283"/>
        <v>0</v>
      </c>
      <c r="M275" s="40">
        <v>0</v>
      </c>
      <c r="N275" s="40">
        <v>0</v>
      </c>
      <c r="O275" s="41"/>
      <c r="P275" s="4">
        <f t="shared" si="284"/>
        <v>0</v>
      </c>
      <c r="Q275" s="4">
        <f t="shared" si="266"/>
        <v>0</v>
      </c>
      <c r="R275" s="41">
        <v>700</v>
      </c>
      <c r="S275" s="41"/>
      <c r="T275" s="41"/>
      <c r="U275" s="4">
        <f t="shared" si="242"/>
        <v>700</v>
      </c>
      <c r="V275" s="4">
        <f t="shared" si="243"/>
        <v>700</v>
      </c>
      <c r="W275" s="41"/>
      <c r="X275" s="74"/>
      <c r="Y275" s="41"/>
      <c r="Z275" s="4">
        <f t="shared" si="245"/>
        <v>700</v>
      </c>
      <c r="AA275" s="5">
        <f t="shared" si="249"/>
        <v>100</v>
      </c>
      <c r="AB275" s="4">
        <f t="shared" si="285"/>
        <v>0</v>
      </c>
      <c r="AC275" s="4">
        <f t="shared" si="286"/>
        <v>100</v>
      </c>
    </row>
    <row r="276" spans="1:45" s="16" customFormat="1" ht="39.6" x14ac:dyDescent="0.25">
      <c r="A276" s="1" t="s">
        <v>329</v>
      </c>
      <c r="B276" s="7" t="s">
        <v>239</v>
      </c>
      <c r="C276" s="7" t="s">
        <v>322</v>
      </c>
      <c r="D276" s="33">
        <v>2148800</v>
      </c>
      <c r="E276" s="33">
        <v>2148800</v>
      </c>
      <c r="F276" s="33">
        <v>2148800</v>
      </c>
      <c r="G276" s="33">
        <v>2148800</v>
      </c>
      <c r="H276" s="33">
        <f>2148800+225700</f>
        <v>2374500</v>
      </c>
      <c r="I276" s="33">
        <v>181427.06</v>
      </c>
      <c r="J276" s="33">
        <v>194758.2</v>
      </c>
      <c r="K276" s="39">
        <f>213218.29</f>
        <v>213218.29</v>
      </c>
      <c r="L276" s="4">
        <f t="shared" si="283"/>
        <v>589403.55000000005</v>
      </c>
      <c r="M276" s="33">
        <v>51324</v>
      </c>
      <c r="N276" s="33">
        <v>142939.51999999999</v>
      </c>
      <c r="O276" s="39">
        <v>221695.83</v>
      </c>
      <c r="P276" s="4">
        <f t="shared" si="284"/>
        <v>415959.35</v>
      </c>
      <c r="Q276" s="4">
        <f t="shared" si="266"/>
        <v>1005362.9</v>
      </c>
      <c r="R276" s="39">
        <v>311736.52</v>
      </c>
      <c r="S276" s="39">
        <v>105457.9</v>
      </c>
      <c r="T276" s="39">
        <v>137414</v>
      </c>
      <c r="U276" s="4">
        <f t="shared" si="242"/>
        <v>554608.42000000004</v>
      </c>
      <c r="V276" s="4">
        <f t="shared" si="243"/>
        <v>1559971.32</v>
      </c>
      <c r="W276" s="39">
        <f>120588.85+189890.83+147724.88</f>
        <v>458204.56</v>
      </c>
      <c r="X276" s="73">
        <f>130624.12+76848.06</f>
        <v>207472.18</v>
      </c>
      <c r="Y276" s="39">
        <v>148851.94</v>
      </c>
      <c r="Z276" s="4">
        <f t="shared" si="245"/>
        <v>2374500</v>
      </c>
      <c r="AA276" s="5">
        <f t="shared" si="249"/>
        <v>65.696833859759948</v>
      </c>
      <c r="AB276" s="4">
        <f t="shared" si="285"/>
        <v>0</v>
      </c>
      <c r="AC276" s="4">
        <f t="shared" si="286"/>
        <v>100</v>
      </c>
    </row>
    <row r="277" spans="1:45" s="16" customFormat="1" ht="39.6" x14ac:dyDescent="0.25">
      <c r="A277" s="42" t="s">
        <v>381</v>
      </c>
      <c r="B277" s="7" t="s">
        <v>92</v>
      </c>
      <c r="C277" s="7" t="s">
        <v>322</v>
      </c>
      <c r="D277" s="33">
        <v>760500</v>
      </c>
      <c r="E277" s="33">
        <v>760500</v>
      </c>
      <c r="F277" s="33">
        <v>760500</v>
      </c>
      <c r="G277" s="33">
        <f>760500+989400</f>
        <v>1749900</v>
      </c>
      <c r="H277" s="33">
        <f>760500+989400</f>
        <v>1749900</v>
      </c>
      <c r="I277" s="33">
        <v>0</v>
      </c>
      <c r="J277" s="33">
        <v>190000</v>
      </c>
      <c r="K277" s="33">
        <v>0</v>
      </c>
      <c r="L277" s="4">
        <f t="shared" si="283"/>
        <v>190000</v>
      </c>
      <c r="M277" s="33">
        <v>190000</v>
      </c>
      <c r="N277" s="33">
        <v>190000</v>
      </c>
      <c r="O277" s="33">
        <v>190500</v>
      </c>
      <c r="P277" s="4">
        <f t="shared" si="284"/>
        <v>570500</v>
      </c>
      <c r="Q277" s="4">
        <f t="shared" si="266"/>
        <v>760500</v>
      </c>
      <c r="R277" s="33"/>
      <c r="S277" s="33"/>
      <c r="T277" s="33">
        <v>70770</v>
      </c>
      <c r="U277" s="4">
        <f t="shared" si="242"/>
        <v>70770</v>
      </c>
      <c r="V277" s="4">
        <f t="shared" si="243"/>
        <v>831270</v>
      </c>
      <c r="W277" s="33">
        <v>271230</v>
      </c>
      <c r="X277" s="71">
        <v>248590</v>
      </c>
      <c r="Y277" s="33">
        <f>398810-2493</f>
        <v>396317</v>
      </c>
      <c r="Z277" s="4">
        <f t="shared" si="245"/>
        <v>1747407</v>
      </c>
      <c r="AA277" s="5">
        <f t="shared" si="249"/>
        <v>47.503857363277902</v>
      </c>
      <c r="AB277" s="4">
        <f t="shared" si="285"/>
        <v>-2493</v>
      </c>
      <c r="AC277" s="4">
        <f t="shared" si="286"/>
        <v>99.857534716269498</v>
      </c>
    </row>
    <row r="278" spans="1:45" s="16" customFormat="1" ht="52.8" x14ac:dyDescent="0.25">
      <c r="A278" s="1" t="s">
        <v>330</v>
      </c>
      <c r="B278" s="7" t="s">
        <v>5</v>
      </c>
      <c r="C278" s="30" t="s">
        <v>331</v>
      </c>
      <c r="D278" s="33">
        <f t="shared" ref="D278:T278" si="287">+D279</f>
        <v>30200</v>
      </c>
      <c r="E278" s="33">
        <f t="shared" si="287"/>
        <v>30200</v>
      </c>
      <c r="F278" s="33">
        <f t="shared" si="287"/>
        <v>30200</v>
      </c>
      <c r="G278" s="33">
        <f t="shared" si="287"/>
        <v>30200</v>
      </c>
      <c r="H278" s="33">
        <f t="shared" si="287"/>
        <v>30200</v>
      </c>
      <c r="I278" s="33">
        <f t="shared" si="287"/>
        <v>0</v>
      </c>
      <c r="J278" s="33">
        <f t="shared" si="287"/>
        <v>0</v>
      </c>
      <c r="K278" s="33">
        <f t="shared" si="287"/>
        <v>30200</v>
      </c>
      <c r="L278" s="33">
        <f t="shared" si="287"/>
        <v>30200</v>
      </c>
      <c r="M278" s="33">
        <f t="shared" si="287"/>
        <v>0</v>
      </c>
      <c r="N278" s="33">
        <f t="shared" si="287"/>
        <v>0</v>
      </c>
      <c r="O278" s="33">
        <f t="shared" si="287"/>
        <v>0</v>
      </c>
      <c r="P278" s="33">
        <f t="shared" si="287"/>
        <v>0</v>
      </c>
      <c r="Q278" s="4">
        <f t="shared" si="266"/>
        <v>30200</v>
      </c>
      <c r="R278" s="33">
        <f t="shared" si="287"/>
        <v>0</v>
      </c>
      <c r="S278" s="33">
        <f t="shared" si="287"/>
        <v>0</v>
      </c>
      <c r="T278" s="33">
        <f t="shared" si="287"/>
        <v>0</v>
      </c>
      <c r="U278" s="4">
        <f t="shared" si="242"/>
        <v>0</v>
      </c>
      <c r="V278" s="4">
        <f t="shared" si="243"/>
        <v>30200</v>
      </c>
      <c r="W278" s="33">
        <f t="shared" ref="W278:Y278" si="288">+W279</f>
        <v>0</v>
      </c>
      <c r="X278" s="71">
        <f t="shared" si="288"/>
        <v>0</v>
      </c>
      <c r="Y278" s="33">
        <f t="shared" si="288"/>
        <v>0</v>
      </c>
      <c r="Z278" s="4">
        <f t="shared" si="245"/>
        <v>30200</v>
      </c>
      <c r="AA278" s="5">
        <f t="shared" si="249"/>
        <v>100</v>
      </c>
      <c r="AB278" s="4">
        <f t="shared" si="285"/>
        <v>0</v>
      </c>
      <c r="AC278" s="4">
        <f t="shared" si="286"/>
        <v>100</v>
      </c>
    </row>
    <row r="279" spans="1:45" s="16" customFormat="1" ht="52.8" x14ac:dyDescent="0.25">
      <c r="A279" s="1" t="s">
        <v>332</v>
      </c>
      <c r="B279" s="7" t="s">
        <v>239</v>
      </c>
      <c r="C279" s="30" t="s">
        <v>333</v>
      </c>
      <c r="D279" s="33">
        <v>30200</v>
      </c>
      <c r="E279" s="33">
        <v>30200</v>
      </c>
      <c r="F279" s="33">
        <v>30200</v>
      </c>
      <c r="G279" s="33">
        <v>30200</v>
      </c>
      <c r="H279" s="33">
        <v>30200</v>
      </c>
      <c r="I279" s="33">
        <v>0</v>
      </c>
      <c r="J279" s="33">
        <v>0</v>
      </c>
      <c r="K279" s="33">
        <v>30200</v>
      </c>
      <c r="L279" s="4">
        <f>I279+J279+K279</f>
        <v>30200</v>
      </c>
      <c r="M279" s="33">
        <v>0</v>
      </c>
      <c r="N279" s="33">
        <v>0</v>
      </c>
      <c r="O279" s="33"/>
      <c r="P279" s="4">
        <f t="shared" ref="P279" si="289">M279+N279+O279</f>
        <v>0</v>
      </c>
      <c r="Q279" s="4">
        <f t="shared" si="266"/>
        <v>30200</v>
      </c>
      <c r="R279" s="33"/>
      <c r="S279" s="33"/>
      <c r="T279" s="33"/>
      <c r="U279" s="4">
        <f t="shared" si="242"/>
        <v>0</v>
      </c>
      <c r="V279" s="4">
        <f t="shared" si="243"/>
        <v>30200</v>
      </c>
      <c r="W279" s="33"/>
      <c r="X279" s="71"/>
      <c r="Y279" s="33"/>
      <c r="Z279" s="4">
        <f t="shared" si="245"/>
        <v>30200</v>
      </c>
      <c r="AA279" s="5">
        <f t="shared" si="249"/>
        <v>100</v>
      </c>
      <c r="AB279" s="4">
        <f t="shared" si="285"/>
        <v>0</v>
      </c>
      <c r="AC279" s="4">
        <f t="shared" si="286"/>
        <v>100</v>
      </c>
    </row>
    <row r="280" spans="1:45" s="16" customFormat="1" ht="26.4" x14ac:dyDescent="0.25">
      <c r="A280" s="1" t="s">
        <v>334</v>
      </c>
      <c r="B280" s="7" t="s">
        <v>5</v>
      </c>
      <c r="C280" s="30" t="s">
        <v>335</v>
      </c>
      <c r="D280" s="33">
        <f t="shared" ref="D280:T280" si="290">D281</f>
        <v>1228200</v>
      </c>
      <c r="E280" s="33">
        <f t="shared" si="290"/>
        <v>1228200</v>
      </c>
      <c r="F280" s="33">
        <f t="shared" si="290"/>
        <v>1228200</v>
      </c>
      <c r="G280" s="33">
        <f t="shared" si="290"/>
        <v>1228200</v>
      </c>
      <c r="H280" s="33">
        <f t="shared" si="290"/>
        <v>715000</v>
      </c>
      <c r="I280" s="33">
        <f t="shared" si="290"/>
        <v>0</v>
      </c>
      <c r="J280" s="33">
        <f t="shared" si="290"/>
        <v>0</v>
      </c>
      <c r="K280" s="33">
        <f t="shared" si="290"/>
        <v>0</v>
      </c>
      <c r="L280" s="33">
        <f t="shared" si="290"/>
        <v>0</v>
      </c>
      <c r="M280" s="33">
        <f t="shared" si="290"/>
        <v>0</v>
      </c>
      <c r="N280" s="33">
        <f t="shared" si="290"/>
        <v>0</v>
      </c>
      <c r="O280" s="33">
        <f t="shared" si="290"/>
        <v>0</v>
      </c>
      <c r="P280" s="33">
        <f t="shared" si="290"/>
        <v>0</v>
      </c>
      <c r="Q280" s="4">
        <f t="shared" si="266"/>
        <v>0</v>
      </c>
      <c r="R280" s="33">
        <f t="shared" si="290"/>
        <v>0</v>
      </c>
      <c r="S280" s="33">
        <f t="shared" si="290"/>
        <v>0</v>
      </c>
      <c r="T280" s="33">
        <f t="shared" si="290"/>
        <v>715000</v>
      </c>
      <c r="U280" s="4">
        <f t="shared" ref="U280:U330" si="291">R280+S280+T280</f>
        <v>715000</v>
      </c>
      <c r="V280" s="4">
        <f t="shared" ref="V280:V330" si="292">L280+P280+U280</f>
        <v>715000</v>
      </c>
      <c r="W280" s="33">
        <f t="shared" ref="W280:Y280" si="293">W281</f>
        <v>0</v>
      </c>
      <c r="X280" s="71">
        <f t="shared" si="293"/>
        <v>0</v>
      </c>
      <c r="Y280" s="33">
        <f t="shared" si="293"/>
        <v>0</v>
      </c>
      <c r="Z280" s="4">
        <f t="shared" ref="Z280:Z308" si="294">L280+P280+U280+W280+X280+Y280</f>
        <v>715000</v>
      </c>
      <c r="AA280" s="5">
        <f t="shared" si="249"/>
        <v>100</v>
      </c>
      <c r="AB280" s="4">
        <f t="shared" si="285"/>
        <v>0</v>
      </c>
      <c r="AC280" s="4">
        <f t="shared" si="286"/>
        <v>100</v>
      </c>
    </row>
    <row r="281" spans="1:45" s="16" customFormat="1" ht="26.4" x14ac:dyDescent="0.25">
      <c r="A281" s="1" t="s">
        <v>336</v>
      </c>
      <c r="B281" s="7" t="s">
        <v>239</v>
      </c>
      <c r="C281" s="30" t="s">
        <v>337</v>
      </c>
      <c r="D281" s="33">
        <v>1228200</v>
      </c>
      <c r="E281" s="33">
        <v>1228200</v>
      </c>
      <c r="F281" s="33">
        <v>1228200</v>
      </c>
      <c r="G281" s="33">
        <v>1228200</v>
      </c>
      <c r="H281" s="33">
        <f>1228200-513200</f>
        <v>715000</v>
      </c>
      <c r="I281" s="33">
        <v>0</v>
      </c>
      <c r="J281" s="33">
        <v>0</v>
      </c>
      <c r="K281" s="33">
        <v>0</v>
      </c>
      <c r="L281" s="33">
        <v>0</v>
      </c>
      <c r="M281" s="33">
        <v>0</v>
      </c>
      <c r="N281" s="33">
        <v>0</v>
      </c>
      <c r="O281" s="33">
        <v>0</v>
      </c>
      <c r="P281" s="33">
        <v>0</v>
      </c>
      <c r="Q281" s="4">
        <f t="shared" si="266"/>
        <v>0</v>
      </c>
      <c r="R281" s="33">
        <v>0</v>
      </c>
      <c r="S281" s="33">
        <v>0</v>
      </c>
      <c r="T281" s="33">
        <v>715000</v>
      </c>
      <c r="U281" s="4">
        <f t="shared" si="291"/>
        <v>715000</v>
      </c>
      <c r="V281" s="4">
        <f t="shared" si="292"/>
        <v>715000</v>
      </c>
      <c r="W281" s="33">
        <v>0</v>
      </c>
      <c r="X281" s="71">
        <v>0</v>
      </c>
      <c r="Y281" s="33"/>
      <c r="Z281" s="4">
        <f t="shared" si="294"/>
        <v>715000</v>
      </c>
      <c r="AA281" s="5">
        <f t="shared" si="249"/>
        <v>100</v>
      </c>
      <c r="AB281" s="4">
        <f t="shared" si="285"/>
        <v>0</v>
      </c>
      <c r="AC281" s="4">
        <f t="shared" si="286"/>
        <v>100</v>
      </c>
    </row>
    <row r="282" spans="1:45" s="16" customFormat="1" ht="13.2" x14ac:dyDescent="0.25">
      <c r="A282" s="1" t="s">
        <v>338</v>
      </c>
      <c r="B282" s="7" t="s">
        <v>5</v>
      </c>
      <c r="C282" s="3" t="s">
        <v>339</v>
      </c>
      <c r="D282" s="4">
        <f t="shared" ref="D282:T282" si="295">+D283</f>
        <v>1425056200</v>
      </c>
      <c r="E282" s="4">
        <f t="shared" si="295"/>
        <v>1425056200</v>
      </c>
      <c r="F282" s="4">
        <f t="shared" si="295"/>
        <v>1425056200</v>
      </c>
      <c r="G282" s="4">
        <f t="shared" si="295"/>
        <v>1435053200</v>
      </c>
      <c r="H282" s="4">
        <f t="shared" si="295"/>
        <v>1734831300</v>
      </c>
      <c r="I282" s="4">
        <f t="shared" si="295"/>
        <v>121300000</v>
      </c>
      <c r="J282" s="4">
        <f t="shared" si="295"/>
        <v>122021200</v>
      </c>
      <c r="K282" s="4">
        <f t="shared" si="295"/>
        <v>235768436</v>
      </c>
      <c r="L282" s="4">
        <f t="shared" si="295"/>
        <v>479089636</v>
      </c>
      <c r="M282" s="4">
        <f t="shared" si="295"/>
        <v>134667300</v>
      </c>
      <c r="N282" s="4">
        <f t="shared" si="295"/>
        <v>171147500</v>
      </c>
      <c r="O282" s="4">
        <f t="shared" si="295"/>
        <v>165987000</v>
      </c>
      <c r="P282" s="4">
        <f t="shared" si="295"/>
        <v>471801800</v>
      </c>
      <c r="Q282" s="4">
        <f t="shared" si="266"/>
        <v>950891436</v>
      </c>
      <c r="R282" s="4">
        <f t="shared" si="295"/>
        <v>124630000</v>
      </c>
      <c r="S282" s="4">
        <f t="shared" si="295"/>
        <v>70209000</v>
      </c>
      <c r="T282" s="4">
        <f t="shared" si="295"/>
        <v>74453000</v>
      </c>
      <c r="U282" s="4">
        <f t="shared" si="291"/>
        <v>269292000</v>
      </c>
      <c r="V282" s="4">
        <f t="shared" si="292"/>
        <v>1220183436</v>
      </c>
      <c r="W282" s="4">
        <f t="shared" ref="W282:Y282" si="296">+W283</f>
        <v>221165000</v>
      </c>
      <c r="X282" s="67">
        <f t="shared" si="296"/>
        <v>90631100</v>
      </c>
      <c r="Y282" s="4">
        <f t="shared" si="296"/>
        <v>202851764</v>
      </c>
      <c r="Z282" s="4">
        <f t="shared" si="294"/>
        <v>1734831300</v>
      </c>
      <c r="AA282" s="5">
        <f t="shared" si="249"/>
        <v>70.33441441827803</v>
      </c>
      <c r="AB282" s="4">
        <f t="shared" si="285"/>
        <v>0</v>
      </c>
      <c r="AC282" s="4">
        <f t="shared" si="286"/>
        <v>100</v>
      </c>
    </row>
    <row r="283" spans="1:45" s="16" customFormat="1" ht="13.2" x14ac:dyDescent="0.25">
      <c r="A283" s="1" t="s">
        <v>340</v>
      </c>
      <c r="B283" s="7" t="s">
        <v>5</v>
      </c>
      <c r="C283" s="3" t="s">
        <v>341</v>
      </c>
      <c r="D283" s="4">
        <f t="shared" ref="D283:P283" si="297">+D284+D285</f>
        <v>1425056200</v>
      </c>
      <c r="E283" s="4">
        <f t="shared" si="297"/>
        <v>1425056200</v>
      </c>
      <c r="F283" s="4">
        <f t="shared" si="297"/>
        <v>1425056200</v>
      </c>
      <c r="G283" s="4">
        <f t="shared" si="297"/>
        <v>1435053200</v>
      </c>
      <c r="H283" s="4">
        <f t="shared" si="297"/>
        <v>1734831300</v>
      </c>
      <c r="I283" s="4">
        <f t="shared" si="297"/>
        <v>121300000</v>
      </c>
      <c r="J283" s="4">
        <f t="shared" si="297"/>
        <v>122021200</v>
      </c>
      <c r="K283" s="4">
        <f t="shared" si="297"/>
        <v>235768436</v>
      </c>
      <c r="L283" s="4">
        <f t="shared" si="297"/>
        <v>479089636</v>
      </c>
      <c r="M283" s="4">
        <f t="shared" si="297"/>
        <v>134667300</v>
      </c>
      <c r="N283" s="4">
        <f t="shared" si="297"/>
        <v>171147500</v>
      </c>
      <c r="O283" s="4">
        <f t="shared" si="297"/>
        <v>165987000</v>
      </c>
      <c r="P283" s="4">
        <f t="shared" si="297"/>
        <v>471801800</v>
      </c>
      <c r="Q283" s="4">
        <f t="shared" si="266"/>
        <v>950891436</v>
      </c>
      <c r="R283" s="4">
        <f t="shared" ref="R283:T283" si="298">+R284+R285</f>
        <v>124630000</v>
      </c>
      <c r="S283" s="4">
        <f t="shared" si="298"/>
        <v>70209000</v>
      </c>
      <c r="T283" s="4">
        <f t="shared" si="298"/>
        <v>74453000</v>
      </c>
      <c r="U283" s="4">
        <f t="shared" si="291"/>
        <v>269292000</v>
      </c>
      <c r="V283" s="4">
        <f t="shared" si="292"/>
        <v>1220183436</v>
      </c>
      <c r="W283" s="4">
        <f t="shared" ref="W283:Y283" si="299">+W284+W285</f>
        <v>221165000</v>
      </c>
      <c r="X283" s="67">
        <f t="shared" si="299"/>
        <v>90631100</v>
      </c>
      <c r="Y283" s="4">
        <f t="shared" si="299"/>
        <v>202851764</v>
      </c>
      <c r="Z283" s="4">
        <f t="shared" si="294"/>
        <v>1734831300</v>
      </c>
      <c r="AA283" s="5">
        <f t="shared" si="249"/>
        <v>70.33441441827803</v>
      </c>
      <c r="AB283" s="4">
        <f t="shared" si="285"/>
        <v>0</v>
      </c>
      <c r="AC283" s="4">
        <f t="shared" si="286"/>
        <v>100</v>
      </c>
    </row>
    <row r="284" spans="1:45" s="16" customFormat="1" ht="79.2" x14ac:dyDescent="0.25">
      <c r="A284" s="19" t="s">
        <v>491</v>
      </c>
      <c r="B284" s="7" t="s">
        <v>295</v>
      </c>
      <c r="C284" s="3" t="s">
        <v>342</v>
      </c>
      <c r="D284" s="43">
        <f>604954300+53914400</f>
        <v>658868700</v>
      </c>
      <c r="E284" s="43">
        <f>604954300+53914400</f>
        <v>658868700</v>
      </c>
      <c r="F284" s="43">
        <f>604954300+53914400</f>
        <v>658868700</v>
      </c>
      <c r="G284" s="43">
        <f>604954300+53914400+9997000</f>
        <v>668865700</v>
      </c>
      <c r="H284" s="43">
        <f>604954300+53914400+9997000+140000000</f>
        <v>808865700</v>
      </c>
      <c r="I284" s="43">
        <v>59500000</v>
      </c>
      <c r="J284" s="43">
        <v>54931200</v>
      </c>
      <c r="K284" s="43">
        <f>43488000+22817904+500000+42148000</f>
        <v>108953904</v>
      </c>
      <c r="L284" s="4">
        <f>I284+J284+K284</f>
        <v>223385104</v>
      </c>
      <c r="M284" s="43">
        <f>25531500+1000000+37668300</f>
        <v>64199800</v>
      </c>
      <c r="N284" s="43">
        <f>57031500+14000000</f>
        <v>71031500</v>
      </c>
      <c r="O284" s="43">
        <f>74355000+2000000+4786000+18331000</f>
        <v>99472000</v>
      </c>
      <c r="P284" s="4">
        <f t="shared" ref="P284:P285" si="300">M284+N284+O284</f>
        <v>234703300</v>
      </c>
      <c r="Q284" s="4">
        <f t="shared" si="266"/>
        <v>458088404</v>
      </c>
      <c r="R284" s="43">
        <v>56261000</v>
      </c>
      <c r="S284" s="43">
        <f>14809000+10000000</f>
        <v>24809000</v>
      </c>
      <c r="T284" s="43">
        <f>7051000+1500000+2000000+19900000+4000000</f>
        <v>34451000</v>
      </c>
      <c r="U284" s="4">
        <f t="shared" si="291"/>
        <v>115521000</v>
      </c>
      <c r="V284" s="4">
        <f t="shared" si="292"/>
        <v>573609404</v>
      </c>
      <c r="W284" s="43">
        <f>39867000+28132000+34465000</f>
        <v>102464000</v>
      </c>
      <c r="X284" s="75">
        <f>24250000+9623900</f>
        <v>33873900</v>
      </c>
      <c r="Y284" s="43">
        <f>25275000+73643396</f>
        <v>98918396</v>
      </c>
      <c r="Z284" s="67">
        <f t="shared" si="294"/>
        <v>808865700</v>
      </c>
      <c r="AA284" s="5">
        <f t="shared" si="249"/>
        <v>70.915283464238883</v>
      </c>
      <c r="AB284" s="4">
        <f t="shared" si="285"/>
        <v>0</v>
      </c>
      <c r="AC284" s="4">
        <f t="shared" si="286"/>
        <v>100</v>
      </c>
    </row>
    <row r="285" spans="1:45" s="16" customFormat="1" ht="54" customHeight="1" x14ac:dyDescent="0.25">
      <c r="A285" s="19" t="s">
        <v>560</v>
      </c>
      <c r="B285" s="7" t="s">
        <v>295</v>
      </c>
      <c r="C285" s="3" t="s">
        <v>341</v>
      </c>
      <c r="D285" s="43">
        <f>732667900+33519600</f>
        <v>766187500</v>
      </c>
      <c r="E285" s="43">
        <f>732667900+33519600</f>
        <v>766187500</v>
      </c>
      <c r="F285" s="43">
        <f>732667900+33519600</f>
        <v>766187500</v>
      </c>
      <c r="G285" s="43">
        <f>732667900+33519600</f>
        <v>766187500</v>
      </c>
      <c r="H285" s="43">
        <v>925965600</v>
      </c>
      <c r="I285" s="43">
        <v>61800000</v>
      </c>
      <c r="J285" s="43">
        <v>67090000</v>
      </c>
      <c r="K285" s="43">
        <f>53082000+300000+29256532+44176000</f>
        <v>126814532</v>
      </c>
      <c r="L285" s="4">
        <f>I285+J285+K285</f>
        <v>255704532</v>
      </c>
      <c r="M285" s="43">
        <f>30200000+500000+39767500</f>
        <v>70467500</v>
      </c>
      <c r="N285" s="43">
        <f>55700000+1000000+43416000</f>
        <v>100116000</v>
      </c>
      <c r="O285" s="43">
        <f>45544000+1000000+19971000</f>
        <v>66515000</v>
      </c>
      <c r="P285" s="4">
        <f t="shared" si="300"/>
        <v>237098500</v>
      </c>
      <c r="Q285" s="4">
        <f t="shared" si="266"/>
        <v>492803032</v>
      </c>
      <c r="R285" s="43">
        <v>68369000</v>
      </c>
      <c r="S285" s="43">
        <f>32400000+13000000</f>
        <v>45400000</v>
      </c>
      <c r="T285" s="43">
        <f>11002000+4000000+25000000</f>
        <v>40002000</v>
      </c>
      <c r="U285" s="4">
        <f t="shared" si="291"/>
        <v>153771000</v>
      </c>
      <c r="V285" s="4">
        <f t="shared" si="292"/>
        <v>646574032</v>
      </c>
      <c r="W285" s="43">
        <f>57407000+24026000+37268000</f>
        <v>118701000</v>
      </c>
      <c r="X285" s="75">
        <f>28150000+28607200</f>
        <v>56757200</v>
      </c>
      <c r="Y285" s="43">
        <f>6328000+800000+96805368</f>
        <v>103933368</v>
      </c>
      <c r="Z285" s="67">
        <f t="shared" si="294"/>
        <v>925965600</v>
      </c>
      <c r="AA285" s="5">
        <f t="shared" ref="AA285:AA330" si="301">V285/H285*100</f>
        <v>69.827003508553659</v>
      </c>
      <c r="AB285" s="4">
        <f t="shared" si="285"/>
        <v>0</v>
      </c>
      <c r="AC285" s="4">
        <f t="shared" si="286"/>
        <v>100</v>
      </c>
    </row>
    <row r="286" spans="1:45" s="16" customFormat="1" ht="17.399999999999999" customHeight="1" x14ac:dyDescent="0.25">
      <c r="A286" s="1" t="s">
        <v>405</v>
      </c>
      <c r="B286" s="7" t="s">
        <v>5</v>
      </c>
      <c r="C286" s="3" t="s">
        <v>406</v>
      </c>
      <c r="D286" s="43">
        <f>+D289+D287</f>
        <v>65262100</v>
      </c>
      <c r="E286" s="43">
        <f>+E289+E287</f>
        <v>65262100</v>
      </c>
      <c r="F286" s="43">
        <f>+F289+F287</f>
        <v>65262100</v>
      </c>
      <c r="G286" s="43">
        <f>+G289+G287+G291</f>
        <v>68951200</v>
      </c>
      <c r="H286" s="43">
        <f>+H289+H287+H291</f>
        <v>68951200</v>
      </c>
      <c r="I286" s="43">
        <f t="shared" ref="I286:T286" si="302">+I289+I287+I291</f>
        <v>0</v>
      </c>
      <c r="J286" s="43">
        <f t="shared" si="302"/>
        <v>4410779.79</v>
      </c>
      <c r="K286" s="43">
        <f t="shared" si="302"/>
        <v>9160326.3300000001</v>
      </c>
      <c r="L286" s="43">
        <f t="shared" si="302"/>
        <v>13571106.120000001</v>
      </c>
      <c r="M286" s="43">
        <f t="shared" si="302"/>
        <v>5433980</v>
      </c>
      <c r="N286" s="43">
        <f t="shared" si="302"/>
        <v>3974208.49</v>
      </c>
      <c r="O286" s="43">
        <f t="shared" si="302"/>
        <v>16079689.949999999</v>
      </c>
      <c r="P286" s="43">
        <f t="shared" si="302"/>
        <v>25487878.440000001</v>
      </c>
      <c r="Q286" s="43">
        <f t="shared" si="302"/>
        <v>39058984.560000002</v>
      </c>
      <c r="R286" s="43">
        <f t="shared" si="302"/>
        <v>4022283.4</v>
      </c>
      <c r="S286" s="43">
        <f t="shared" si="302"/>
        <v>5601642.7800000003</v>
      </c>
      <c r="T286" s="43">
        <f t="shared" si="302"/>
        <v>4727199.92</v>
      </c>
      <c r="U286" s="4">
        <f t="shared" si="291"/>
        <v>14351126.1</v>
      </c>
      <c r="V286" s="4">
        <f t="shared" si="292"/>
        <v>53410110.660000004</v>
      </c>
      <c r="W286" s="43">
        <f t="shared" ref="W286:Y286" si="303">+W289+W287+W291</f>
        <v>429618.3</v>
      </c>
      <c r="X286" s="75">
        <f t="shared" si="303"/>
        <v>4394301.84</v>
      </c>
      <c r="Y286" s="43">
        <f t="shared" si="303"/>
        <v>8285806.3200000003</v>
      </c>
      <c r="Z286" s="4">
        <f t="shared" si="294"/>
        <v>66519837.119999997</v>
      </c>
      <c r="AA286" s="5">
        <f t="shared" si="301"/>
        <v>77.460741306895315</v>
      </c>
      <c r="AB286" s="4">
        <f t="shared" si="285"/>
        <v>-2431362.8800000027</v>
      </c>
      <c r="AC286" s="4">
        <f t="shared" si="286"/>
        <v>96.473791783174178</v>
      </c>
      <c r="AD286" s="25"/>
    </row>
    <row r="287" spans="1:45" s="16" customFormat="1" ht="57" customHeight="1" x14ac:dyDescent="0.25">
      <c r="A287" s="1" t="s">
        <v>561</v>
      </c>
      <c r="B287" s="7" t="s">
        <v>5</v>
      </c>
      <c r="C287" s="3" t="s">
        <v>407</v>
      </c>
      <c r="D287" s="43">
        <f t="shared" ref="D287:T287" si="304">+D288</f>
        <v>55262100</v>
      </c>
      <c r="E287" s="43">
        <f t="shared" si="304"/>
        <v>55262100</v>
      </c>
      <c r="F287" s="43">
        <f t="shared" si="304"/>
        <v>55262100</v>
      </c>
      <c r="G287" s="43">
        <f t="shared" si="304"/>
        <v>55262100</v>
      </c>
      <c r="H287" s="43">
        <f t="shared" si="304"/>
        <v>55262100</v>
      </c>
      <c r="I287" s="43">
        <f t="shared" si="304"/>
        <v>0</v>
      </c>
      <c r="J287" s="43">
        <f t="shared" si="304"/>
        <v>4410779.79</v>
      </c>
      <c r="K287" s="43">
        <f t="shared" si="304"/>
        <v>9160326.3300000001</v>
      </c>
      <c r="L287" s="43">
        <f t="shared" si="304"/>
        <v>13571106.120000001</v>
      </c>
      <c r="M287" s="43">
        <f t="shared" si="304"/>
        <v>4810000</v>
      </c>
      <c r="N287" s="43">
        <f t="shared" si="304"/>
        <v>3974208.49</v>
      </c>
      <c r="O287" s="43">
        <f t="shared" si="304"/>
        <v>8554362.8300000001</v>
      </c>
      <c r="P287" s="43">
        <f t="shared" si="304"/>
        <v>17338571.32</v>
      </c>
      <c r="Q287" s="4">
        <f t="shared" si="266"/>
        <v>30909677.440000001</v>
      </c>
      <c r="R287" s="43">
        <f t="shared" si="304"/>
        <v>4022283.4</v>
      </c>
      <c r="S287" s="43">
        <f t="shared" si="304"/>
        <v>61849.899999999994</v>
      </c>
      <c r="T287" s="43">
        <f t="shared" si="304"/>
        <v>4727199.92</v>
      </c>
      <c r="U287" s="4">
        <f t="shared" si="291"/>
        <v>8811333.2199999988</v>
      </c>
      <c r="V287" s="4">
        <f t="shared" si="292"/>
        <v>39721010.659999996</v>
      </c>
      <c r="W287" s="43">
        <f t="shared" ref="W287:Y287" si="305">+W288</f>
        <v>429618.3</v>
      </c>
      <c r="X287" s="75">
        <f t="shared" si="305"/>
        <v>4394301.84</v>
      </c>
      <c r="Y287" s="43">
        <f t="shared" si="305"/>
        <v>8285806.3200000003</v>
      </c>
      <c r="Z287" s="4">
        <f t="shared" si="294"/>
        <v>52830737.119999997</v>
      </c>
      <c r="AA287" s="5">
        <f t="shared" si="301"/>
        <v>71.877490468150867</v>
      </c>
      <c r="AB287" s="4">
        <f t="shared" si="285"/>
        <v>-2431362.8800000027</v>
      </c>
      <c r="AC287" s="4">
        <f t="shared" si="286"/>
        <v>95.600306756348374</v>
      </c>
      <c r="AD287" s="45"/>
      <c r="AK287" s="46"/>
      <c r="AL287" s="46"/>
      <c r="AM287" s="46"/>
      <c r="AN287" s="46"/>
      <c r="AO287" s="46"/>
      <c r="AP287" s="46"/>
      <c r="AQ287" s="44"/>
      <c r="AR287" s="44"/>
      <c r="AS287" s="44"/>
    </row>
    <row r="288" spans="1:45" s="16" customFormat="1" ht="57" customHeight="1" x14ac:dyDescent="0.25">
      <c r="A288" s="19" t="s">
        <v>562</v>
      </c>
      <c r="B288" s="7" t="s">
        <v>295</v>
      </c>
      <c r="C288" s="24" t="s">
        <v>408</v>
      </c>
      <c r="D288" s="43">
        <v>55262100</v>
      </c>
      <c r="E288" s="43">
        <v>55262100</v>
      </c>
      <c r="F288" s="43">
        <v>55262100</v>
      </c>
      <c r="G288" s="43">
        <v>55262100</v>
      </c>
      <c r="H288" s="43">
        <v>55262100</v>
      </c>
      <c r="I288" s="43">
        <v>0</v>
      </c>
      <c r="J288" s="4">
        <v>4410779.79</v>
      </c>
      <c r="K288" s="4">
        <f>228849.05+1316726.1+1235045.93+1649109.55+595.7+2270000+2460000</f>
        <v>9160326.3300000001</v>
      </c>
      <c r="L288" s="4">
        <f>I288+J288+K288</f>
        <v>13571106.120000001</v>
      </c>
      <c r="M288" s="43">
        <v>4810000</v>
      </c>
      <c r="N288" s="4">
        <v>3974208.49</v>
      </c>
      <c r="O288" s="4">
        <f>6131179.75+9976.16+2138821.34+274385.58</f>
        <v>8554362.8300000001</v>
      </c>
      <c r="P288" s="4">
        <f>M288+N288+O288</f>
        <v>17338571.32</v>
      </c>
      <c r="Q288" s="4">
        <f t="shared" si="266"/>
        <v>30909677.440000001</v>
      </c>
      <c r="R288" s="4">
        <v>4022283.4</v>
      </c>
      <c r="S288" s="4">
        <f>59591.13+2258.77</f>
        <v>61849.899999999994</v>
      </c>
      <c r="T288" s="4">
        <f>5001.76+768435.41+6462.75+3947300</f>
        <v>4727199.92</v>
      </c>
      <c r="U288" s="4">
        <f t="shared" si="291"/>
        <v>8811333.2199999988</v>
      </c>
      <c r="V288" s="4">
        <f t="shared" si="292"/>
        <v>39721010.659999996</v>
      </c>
      <c r="W288" s="4">
        <f>416618.3+13000</f>
        <v>429618.3</v>
      </c>
      <c r="X288" s="67">
        <f>3485088.39+902913.45+6300</f>
        <v>4394301.84</v>
      </c>
      <c r="Y288" s="4">
        <f>3950609.04+4335197.28</f>
        <v>8285806.3200000003</v>
      </c>
      <c r="Z288" s="67">
        <f t="shared" si="294"/>
        <v>52830737.119999997</v>
      </c>
      <c r="AA288" s="5">
        <f t="shared" si="301"/>
        <v>71.877490468150867</v>
      </c>
      <c r="AB288" s="4">
        <f t="shared" si="285"/>
        <v>-2431362.8800000027</v>
      </c>
      <c r="AC288" s="4">
        <f t="shared" si="286"/>
        <v>95.600306756348374</v>
      </c>
      <c r="AD288" s="45"/>
      <c r="AK288" s="46"/>
      <c r="AL288" s="46"/>
      <c r="AM288" s="46"/>
      <c r="AN288" s="46"/>
      <c r="AO288" s="46"/>
      <c r="AP288" s="46"/>
      <c r="AQ288" s="44"/>
      <c r="AR288" s="44"/>
      <c r="AS288" s="44"/>
    </row>
    <row r="289" spans="1:30" s="16" customFormat="1" ht="30" customHeight="1" x14ac:dyDescent="0.25">
      <c r="A289" s="8" t="s">
        <v>480</v>
      </c>
      <c r="B289" s="7" t="s">
        <v>5</v>
      </c>
      <c r="C289" s="3" t="s">
        <v>447</v>
      </c>
      <c r="D289" s="43">
        <f t="shared" ref="D289:T291" si="306">+D290</f>
        <v>10000000</v>
      </c>
      <c r="E289" s="43">
        <f t="shared" si="306"/>
        <v>10000000</v>
      </c>
      <c r="F289" s="43">
        <f t="shared" si="306"/>
        <v>10000000</v>
      </c>
      <c r="G289" s="43">
        <f t="shared" si="306"/>
        <v>10000000</v>
      </c>
      <c r="H289" s="43">
        <f t="shared" si="306"/>
        <v>10000000</v>
      </c>
      <c r="I289" s="43">
        <f t="shared" si="306"/>
        <v>0</v>
      </c>
      <c r="J289" s="43">
        <f t="shared" si="306"/>
        <v>0</v>
      </c>
      <c r="K289" s="43">
        <f t="shared" si="306"/>
        <v>0</v>
      </c>
      <c r="L289" s="43">
        <f t="shared" si="306"/>
        <v>0</v>
      </c>
      <c r="M289" s="43">
        <f t="shared" si="306"/>
        <v>623980</v>
      </c>
      <c r="N289" s="43">
        <f t="shared" si="306"/>
        <v>0</v>
      </c>
      <c r="O289" s="43">
        <f t="shared" si="306"/>
        <v>3836227.12</v>
      </c>
      <c r="P289" s="43">
        <f t="shared" si="306"/>
        <v>4460207.12</v>
      </c>
      <c r="Q289" s="4">
        <f t="shared" si="266"/>
        <v>4460207.12</v>
      </c>
      <c r="R289" s="43">
        <f t="shared" si="306"/>
        <v>0</v>
      </c>
      <c r="S289" s="43">
        <f t="shared" si="306"/>
        <v>5539792.8799999999</v>
      </c>
      <c r="T289" s="43">
        <f t="shared" si="306"/>
        <v>0</v>
      </c>
      <c r="U289" s="4">
        <f t="shared" si="291"/>
        <v>5539792.8799999999</v>
      </c>
      <c r="V289" s="4">
        <f t="shared" si="292"/>
        <v>10000000</v>
      </c>
      <c r="W289" s="43">
        <f t="shared" ref="W289:Y291" si="307">+W290</f>
        <v>0</v>
      </c>
      <c r="X289" s="75">
        <f t="shared" si="307"/>
        <v>0</v>
      </c>
      <c r="Y289" s="43">
        <f t="shared" si="307"/>
        <v>0</v>
      </c>
      <c r="Z289" s="4">
        <f t="shared" si="294"/>
        <v>10000000</v>
      </c>
      <c r="AA289" s="5">
        <f t="shared" si="301"/>
        <v>100</v>
      </c>
      <c r="AB289" s="4">
        <f t="shared" si="285"/>
        <v>0</v>
      </c>
      <c r="AC289" s="4">
        <f t="shared" si="286"/>
        <v>100</v>
      </c>
      <c r="AD289" s="25"/>
    </row>
    <row r="290" spans="1:30" s="16" customFormat="1" ht="26.4" x14ac:dyDescent="0.25">
      <c r="A290" s="8" t="s">
        <v>445</v>
      </c>
      <c r="B290" s="7" t="s">
        <v>300</v>
      </c>
      <c r="C290" s="3" t="s">
        <v>446</v>
      </c>
      <c r="D290" s="43">
        <v>10000000</v>
      </c>
      <c r="E290" s="43">
        <v>10000000</v>
      </c>
      <c r="F290" s="43">
        <v>10000000</v>
      </c>
      <c r="G290" s="43">
        <v>10000000</v>
      </c>
      <c r="H290" s="43">
        <v>10000000</v>
      </c>
      <c r="I290" s="43">
        <v>0</v>
      </c>
      <c r="J290" s="4"/>
      <c r="K290" s="5"/>
      <c r="L290" s="5">
        <f>I290+J290+K290</f>
        <v>0</v>
      </c>
      <c r="M290" s="43">
        <v>623980</v>
      </c>
      <c r="N290" s="4"/>
      <c r="O290" s="4">
        <v>3836227.12</v>
      </c>
      <c r="P290" s="5">
        <f>M290+N290+O290</f>
        <v>4460207.12</v>
      </c>
      <c r="Q290" s="4">
        <f t="shared" si="266"/>
        <v>4460207.12</v>
      </c>
      <c r="R290" s="4"/>
      <c r="S290" s="4">
        <v>5539792.8799999999</v>
      </c>
      <c r="T290" s="4"/>
      <c r="U290" s="4">
        <f t="shared" si="291"/>
        <v>5539792.8799999999</v>
      </c>
      <c r="V290" s="4">
        <f t="shared" si="292"/>
        <v>10000000</v>
      </c>
      <c r="W290" s="4"/>
      <c r="X290" s="67"/>
      <c r="Y290" s="4"/>
      <c r="Z290" s="4">
        <f t="shared" si="294"/>
        <v>10000000</v>
      </c>
      <c r="AA290" s="5">
        <f t="shared" si="301"/>
        <v>100</v>
      </c>
      <c r="AB290" s="4">
        <f t="shared" si="285"/>
        <v>0</v>
      </c>
      <c r="AC290" s="4">
        <f t="shared" si="286"/>
        <v>100</v>
      </c>
      <c r="AD290" s="25"/>
    </row>
    <row r="291" spans="1:30" s="16" customFormat="1" ht="13.2" x14ac:dyDescent="0.25">
      <c r="A291" s="1" t="s">
        <v>507</v>
      </c>
      <c r="B291" s="7" t="s">
        <v>5</v>
      </c>
      <c r="C291" s="3" t="s">
        <v>509</v>
      </c>
      <c r="D291" s="43">
        <f t="shared" ref="D291:I291" si="308">+D292</f>
        <v>10000000</v>
      </c>
      <c r="E291" s="43">
        <f t="shared" si="308"/>
        <v>10000000</v>
      </c>
      <c r="F291" s="43">
        <f t="shared" si="308"/>
        <v>10000000</v>
      </c>
      <c r="G291" s="43">
        <f t="shared" si="308"/>
        <v>3689100</v>
      </c>
      <c r="H291" s="43">
        <f t="shared" si="308"/>
        <v>3689100</v>
      </c>
      <c r="I291" s="43">
        <f t="shared" si="308"/>
        <v>0</v>
      </c>
      <c r="J291" s="43">
        <f t="shared" si="306"/>
        <v>0</v>
      </c>
      <c r="K291" s="43">
        <f t="shared" si="306"/>
        <v>0</v>
      </c>
      <c r="L291" s="43">
        <f t="shared" si="306"/>
        <v>0</v>
      </c>
      <c r="M291" s="43">
        <f t="shared" si="306"/>
        <v>0</v>
      </c>
      <c r="N291" s="43">
        <f t="shared" si="306"/>
        <v>0</v>
      </c>
      <c r="O291" s="43">
        <f t="shared" si="306"/>
        <v>3689100</v>
      </c>
      <c r="P291" s="43">
        <f t="shared" si="306"/>
        <v>3689100</v>
      </c>
      <c r="Q291" s="4">
        <f t="shared" si="266"/>
        <v>3689100</v>
      </c>
      <c r="R291" s="43">
        <f t="shared" si="306"/>
        <v>0</v>
      </c>
      <c r="S291" s="43">
        <f t="shared" si="306"/>
        <v>0</v>
      </c>
      <c r="T291" s="43">
        <f t="shared" si="306"/>
        <v>0</v>
      </c>
      <c r="U291" s="4">
        <f t="shared" si="291"/>
        <v>0</v>
      </c>
      <c r="V291" s="4">
        <f t="shared" si="292"/>
        <v>3689100</v>
      </c>
      <c r="W291" s="43">
        <f t="shared" si="307"/>
        <v>0</v>
      </c>
      <c r="X291" s="75">
        <f t="shared" si="307"/>
        <v>0</v>
      </c>
      <c r="Y291" s="43">
        <f t="shared" si="307"/>
        <v>0</v>
      </c>
      <c r="Z291" s="4">
        <f t="shared" si="294"/>
        <v>3689100</v>
      </c>
      <c r="AA291" s="5">
        <f t="shared" si="301"/>
        <v>100</v>
      </c>
      <c r="AB291" s="4">
        <f t="shared" si="285"/>
        <v>0</v>
      </c>
      <c r="AC291" s="4">
        <f t="shared" si="286"/>
        <v>100</v>
      </c>
      <c r="AD291" s="25"/>
    </row>
    <row r="292" spans="1:30" s="16" customFormat="1" ht="66" x14ac:dyDescent="0.25">
      <c r="A292" s="47" t="s">
        <v>508</v>
      </c>
      <c r="B292" s="7" t="s">
        <v>290</v>
      </c>
      <c r="C292" s="3" t="s">
        <v>510</v>
      </c>
      <c r="D292" s="43">
        <v>10000000</v>
      </c>
      <c r="E292" s="43">
        <v>10000000</v>
      </c>
      <c r="F292" s="43">
        <v>10000000</v>
      </c>
      <c r="G292" s="43">
        <v>3689100</v>
      </c>
      <c r="H292" s="43">
        <v>3689100</v>
      </c>
      <c r="I292" s="43">
        <v>0</v>
      </c>
      <c r="J292" s="4"/>
      <c r="K292" s="5"/>
      <c r="L292" s="5">
        <f>I292+J292+K292</f>
        <v>0</v>
      </c>
      <c r="M292" s="43"/>
      <c r="N292" s="4"/>
      <c r="O292" s="5">
        <v>3689100</v>
      </c>
      <c r="P292" s="5">
        <f>M292+N292+O292</f>
        <v>3689100</v>
      </c>
      <c r="Q292" s="4">
        <f t="shared" si="266"/>
        <v>3689100</v>
      </c>
      <c r="R292" s="5"/>
      <c r="S292" s="5"/>
      <c r="T292" s="5"/>
      <c r="U292" s="4">
        <f t="shared" si="291"/>
        <v>0</v>
      </c>
      <c r="V292" s="4">
        <f t="shared" si="292"/>
        <v>3689100</v>
      </c>
      <c r="W292" s="5"/>
      <c r="X292" s="69"/>
      <c r="Y292" s="5"/>
      <c r="Z292" s="4">
        <f t="shared" si="294"/>
        <v>3689100</v>
      </c>
      <c r="AA292" s="5">
        <f t="shared" si="301"/>
        <v>100</v>
      </c>
      <c r="AB292" s="4">
        <f t="shared" si="285"/>
        <v>0</v>
      </c>
      <c r="AC292" s="4">
        <f t="shared" si="286"/>
        <v>100</v>
      </c>
      <c r="AD292" s="25"/>
    </row>
    <row r="293" spans="1:30" s="16" customFormat="1" ht="13.2" x14ac:dyDescent="0.25">
      <c r="A293" s="34" t="s">
        <v>513</v>
      </c>
      <c r="B293" s="7" t="s">
        <v>5</v>
      </c>
      <c r="C293" s="24" t="s">
        <v>514</v>
      </c>
      <c r="D293" s="43"/>
      <c r="E293" s="43"/>
      <c r="F293" s="43"/>
      <c r="G293" s="43">
        <f>G294</f>
        <v>0</v>
      </c>
      <c r="H293" s="43">
        <f>H294</f>
        <v>3410000</v>
      </c>
      <c r="I293" s="43">
        <f t="shared" ref="I293:T294" si="309">I294</f>
        <v>0</v>
      </c>
      <c r="J293" s="43">
        <f t="shared" si="309"/>
        <v>0</v>
      </c>
      <c r="K293" s="43">
        <f t="shared" si="309"/>
        <v>0</v>
      </c>
      <c r="L293" s="43">
        <f t="shared" si="309"/>
        <v>0</v>
      </c>
      <c r="M293" s="43">
        <f t="shared" si="309"/>
        <v>0</v>
      </c>
      <c r="N293" s="43">
        <f t="shared" si="309"/>
        <v>0</v>
      </c>
      <c r="O293" s="43">
        <f t="shared" si="309"/>
        <v>2000000</v>
      </c>
      <c r="P293" s="43">
        <f t="shared" si="309"/>
        <v>2000000</v>
      </c>
      <c r="Q293" s="43">
        <f t="shared" si="309"/>
        <v>2000000</v>
      </c>
      <c r="R293" s="43">
        <f t="shared" si="309"/>
        <v>0</v>
      </c>
      <c r="S293" s="43">
        <f t="shared" si="309"/>
        <v>300000</v>
      </c>
      <c r="T293" s="43">
        <f t="shared" si="309"/>
        <v>310000</v>
      </c>
      <c r="U293" s="4">
        <f t="shared" si="291"/>
        <v>610000</v>
      </c>
      <c r="V293" s="4">
        <f t="shared" si="292"/>
        <v>2610000</v>
      </c>
      <c r="W293" s="43">
        <f t="shared" ref="W293:Y293" si="310">W294</f>
        <v>0</v>
      </c>
      <c r="X293" s="75">
        <f t="shared" si="310"/>
        <v>179000</v>
      </c>
      <c r="Y293" s="43">
        <f t="shared" si="310"/>
        <v>971000</v>
      </c>
      <c r="Z293" s="4">
        <f t="shared" si="294"/>
        <v>3760000</v>
      </c>
      <c r="AA293" s="5">
        <f t="shared" si="301"/>
        <v>76.539589442815242</v>
      </c>
      <c r="AB293" s="4">
        <f t="shared" si="285"/>
        <v>350000</v>
      </c>
      <c r="AC293" s="4">
        <f t="shared" si="286"/>
        <v>110.26392961876832</v>
      </c>
      <c r="AD293" s="25"/>
    </row>
    <row r="294" spans="1:30" s="16" customFormat="1" ht="26.4" x14ac:dyDescent="0.25">
      <c r="A294" s="34" t="s">
        <v>511</v>
      </c>
      <c r="B294" s="7" t="s">
        <v>5</v>
      </c>
      <c r="C294" s="24" t="s">
        <v>515</v>
      </c>
      <c r="D294" s="5">
        <f t="shared" ref="D294:N294" si="311">D295</f>
        <v>0</v>
      </c>
      <c r="E294" s="5">
        <f t="shared" si="311"/>
        <v>0</v>
      </c>
      <c r="F294" s="5">
        <f t="shared" si="311"/>
        <v>0</v>
      </c>
      <c r="G294" s="5">
        <f t="shared" si="311"/>
        <v>0</v>
      </c>
      <c r="H294" s="4">
        <f t="shared" si="311"/>
        <v>3410000</v>
      </c>
      <c r="I294" s="5">
        <f t="shared" si="311"/>
        <v>0</v>
      </c>
      <c r="J294" s="5">
        <f t="shared" si="311"/>
        <v>0</v>
      </c>
      <c r="K294" s="5">
        <f t="shared" si="311"/>
        <v>0</v>
      </c>
      <c r="L294" s="5">
        <f>L295</f>
        <v>0</v>
      </c>
      <c r="M294" s="5">
        <f t="shared" si="311"/>
        <v>0</v>
      </c>
      <c r="N294" s="5">
        <f t="shared" si="311"/>
        <v>0</v>
      </c>
      <c r="O294" s="5">
        <f>O295</f>
        <v>2000000</v>
      </c>
      <c r="P294" s="5">
        <f t="shared" si="309"/>
        <v>2000000</v>
      </c>
      <c r="Q294" s="4">
        <f t="shared" si="266"/>
        <v>2000000</v>
      </c>
      <c r="R294" s="5">
        <f>R295</f>
        <v>0</v>
      </c>
      <c r="S294" s="5">
        <f>S295</f>
        <v>300000</v>
      </c>
      <c r="T294" s="5">
        <f>T295</f>
        <v>310000</v>
      </c>
      <c r="U294" s="4">
        <f t="shared" si="291"/>
        <v>610000</v>
      </c>
      <c r="V294" s="4">
        <f t="shared" si="292"/>
        <v>2610000</v>
      </c>
      <c r="W294" s="5">
        <f>W295</f>
        <v>0</v>
      </c>
      <c r="X294" s="69">
        <f>X295</f>
        <v>179000</v>
      </c>
      <c r="Y294" s="5">
        <f>Y295</f>
        <v>971000</v>
      </c>
      <c r="Z294" s="4">
        <f t="shared" si="294"/>
        <v>3760000</v>
      </c>
      <c r="AA294" s="5">
        <f t="shared" si="301"/>
        <v>76.539589442815242</v>
      </c>
      <c r="AB294" s="4">
        <f t="shared" si="285"/>
        <v>350000</v>
      </c>
      <c r="AC294" s="4">
        <f t="shared" si="286"/>
        <v>110.26392961876832</v>
      </c>
      <c r="AD294" s="25"/>
    </row>
    <row r="295" spans="1:30" s="16" customFormat="1" ht="26.4" x14ac:dyDescent="0.25">
      <c r="A295" s="34" t="s">
        <v>511</v>
      </c>
      <c r="B295" s="7" t="s">
        <v>239</v>
      </c>
      <c r="C295" s="28" t="s">
        <v>512</v>
      </c>
      <c r="D295" s="43"/>
      <c r="E295" s="43"/>
      <c r="F295" s="43"/>
      <c r="G295" s="43">
        <v>0</v>
      </c>
      <c r="H295" s="43">
        <v>3410000</v>
      </c>
      <c r="I295" s="43"/>
      <c r="J295" s="4"/>
      <c r="K295" s="5"/>
      <c r="L295" s="4">
        <f>I295+J295+K295</f>
        <v>0</v>
      </c>
      <c r="M295" s="43"/>
      <c r="N295" s="4"/>
      <c r="O295" s="5">
        <v>2000000</v>
      </c>
      <c r="P295" s="5">
        <f>M295+N295+O295</f>
        <v>2000000</v>
      </c>
      <c r="Q295" s="4">
        <f t="shared" si="266"/>
        <v>2000000</v>
      </c>
      <c r="R295" s="5"/>
      <c r="S295" s="5">
        <v>300000</v>
      </c>
      <c r="T295" s="5">
        <f>150000+10000+150000</f>
        <v>310000</v>
      </c>
      <c r="U295" s="4">
        <f t="shared" si="291"/>
        <v>610000</v>
      </c>
      <c r="V295" s="4">
        <f t="shared" si="292"/>
        <v>2610000</v>
      </c>
      <c r="W295" s="5"/>
      <c r="X295" s="69">
        <f>122000+10000+25000+22000</f>
        <v>179000</v>
      </c>
      <c r="Y295" s="5">
        <v>971000</v>
      </c>
      <c r="Z295" s="4">
        <f t="shared" si="294"/>
        <v>3760000</v>
      </c>
      <c r="AA295" s="5">
        <f t="shared" si="301"/>
        <v>76.539589442815242</v>
      </c>
      <c r="AB295" s="4">
        <f t="shared" si="285"/>
        <v>350000</v>
      </c>
      <c r="AC295" s="4">
        <f t="shared" si="286"/>
        <v>110.26392961876832</v>
      </c>
      <c r="AD295" s="25"/>
    </row>
    <row r="296" spans="1:30" s="16" customFormat="1" ht="43.2" customHeight="1" x14ac:dyDescent="0.25">
      <c r="A296" s="34" t="s">
        <v>409</v>
      </c>
      <c r="B296" s="7" t="s">
        <v>5</v>
      </c>
      <c r="C296" s="48" t="s">
        <v>410</v>
      </c>
      <c r="D296" s="49">
        <f t="shared" ref="D296:T298" si="312">+D297</f>
        <v>0</v>
      </c>
      <c r="E296" s="49">
        <f t="shared" si="312"/>
        <v>100000</v>
      </c>
      <c r="F296" s="49">
        <f t="shared" si="312"/>
        <v>100000</v>
      </c>
      <c r="G296" s="49">
        <f t="shared" si="312"/>
        <v>133545</v>
      </c>
      <c r="H296" s="49">
        <f t="shared" si="312"/>
        <v>301775</v>
      </c>
      <c r="I296" s="49">
        <f t="shared" si="312"/>
        <v>32868.92</v>
      </c>
      <c r="J296" s="49">
        <f t="shared" si="312"/>
        <v>28438.11</v>
      </c>
      <c r="K296" s="49">
        <f t="shared" si="312"/>
        <v>24794.41</v>
      </c>
      <c r="L296" s="49">
        <f t="shared" si="312"/>
        <v>86101.440000000002</v>
      </c>
      <c r="M296" s="49">
        <f t="shared" si="312"/>
        <v>119422.87000000001</v>
      </c>
      <c r="N296" s="49">
        <f t="shared" si="312"/>
        <v>1851.1800000000003</v>
      </c>
      <c r="O296" s="49">
        <f t="shared" si="312"/>
        <v>42493.81</v>
      </c>
      <c r="P296" s="49">
        <f t="shared" si="312"/>
        <v>163767.86000000002</v>
      </c>
      <c r="Q296" s="4">
        <f t="shared" si="266"/>
        <v>249869.30000000002</v>
      </c>
      <c r="R296" s="49">
        <f t="shared" si="312"/>
        <v>12012.55</v>
      </c>
      <c r="S296" s="49">
        <f t="shared" si="312"/>
        <v>21991.31</v>
      </c>
      <c r="T296" s="49">
        <f t="shared" si="312"/>
        <v>25646.120000000003</v>
      </c>
      <c r="U296" s="4">
        <f t="shared" si="291"/>
        <v>59649.98</v>
      </c>
      <c r="V296" s="4">
        <f t="shared" si="292"/>
        <v>309519.28000000003</v>
      </c>
      <c r="W296" s="49">
        <f t="shared" ref="W296:Y298" si="313">+W297</f>
        <v>-29477.61</v>
      </c>
      <c r="X296" s="76">
        <f t="shared" si="313"/>
        <v>23078.370000000003</v>
      </c>
      <c r="Y296" s="49">
        <f t="shared" si="313"/>
        <v>9093.76</v>
      </c>
      <c r="Z296" s="4">
        <f t="shared" si="294"/>
        <v>312213.80000000005</v>
      </c>
      <c r="AA296" s="5">
        <f t="shared" si="301"/>
        <v>102.56624306188387</v>
      </c>
      <c r="AB296" s="4">
        <f t="shared" si="285"/>
        <v>10438.800000000047</v>
      </c>
      <c r="AC296" s="4">
        <f t="shared" si="286"/>
        <v>103.45913346035955</v>
      </c>
      <c r="AD296" s="25"/>
    </row>
    <row r="297" spans="1:30" s="16" customFormat="1" ht="69.599999999999994" customHeight="1" x14ac:dyDescent="0.25">
      <c r="A297" s="34" t="s">
        <v>411</v>
      </c>
      <c r="B297" s="7" t="s">
        <v>5</v>
      </c>
      <c r="C297" s="48" t="s">
        <v>412</v>
      </c>
      <c r="D297" s="49">
        <f t="shared" si="312"/>
        <v>0</v>
      </c>
      <c r="E297" s="49">
        <f t="shared" si="312"/>
        <v>100000</v>
      </c>
      <c r="F297" s="49">
        <f t="shared" si="312"/>
        <v>100000</v>
      </c>
      <c r="G297" s="49">
        <f t="shared" si="312"/>
        <v>133545</v>
      </c>
      <c r="H297" s="49">
        <f t="shared" si="312"/>
        <v>301775</v>
      </c>
      <c r="I297" s="49">
        <f t="shared" si="312"/>
        <v>32868.92</v>
      </c>
      <c r="J297" s="49">
        <f t="shared" si="312"/>
        <v>28438.11</v>
      </c>
      <c r="K297" s="49">
        <f t="shared" si="312"/>
        <v>24794.41</v>
      </c>
      <c r="L297" s="49">
        <f t="shared" si="312"/>
        <v>86101.440000000002</v>
      </c>
      <c r="M297" s="49">
        <f t="shared" si="312"/>
        <v>119422.87000000001</v>
      </c>
      <c r="N297" s="49">
        <f t="shared" si="312"/>
        <v>1851.1800000000003</v>
      </c>
      <c r="O297" s="49">
        <f t="shared" si="312"/>
        <v>42493.81</v>
      </c>
      <c r="P297" s="49">
        <f t="shared" si="312"/>
        <v>163767.86000000002</v>
      </c>
      <c r="Q297" s="4">
        <f t="shared" si="266"/>
        <v>249869.30000000002</v>
      </c>
      <c r="R297" s="49">
        <f t="shared" si="312"/>
        <v>12012.55</v>
      </c>
      <c r="S297" s="49">
        <f t="shared" si="312"/>
        <v>21991.31</v>
      </c>
      <c r="T297" s="49">
        <f t="shared" si="312"/>
        <v>25646.120000000003</v>
      </c>
      <c r="U297" s="4">
        <f t="shared" si="291"/>
        <v>59649.98</v>
      </c>
      <c r="V297" s="4">
        <f t="shared" si="292"/>
        <v>309519.28000000003</v>
      </c>
      <c r="W297" s="49">
        <f t="shared" si="313"/>
        <v>-29477.61</v>
      </c>
      <c r="X297" s="76">
        <f t="shared" si="313"/>
        <v>23078.370000000003</v>
      </c>
      <c r="Y297" s="49">
        <f t="shared" si="313"/>
        <v>9093.76</v>
      </c>
      <c r="Z297" s="4">
        <f t="shared" si="294"/>
        <v>312213.80000000005</v>
      </c>
      <c r="AA297" s="5">
        <f t="shared" si="301"/>
        <v>102.56624306188387</v>
      </c>
      <c r="AB297" s="4">
        <f t="shared" si="285"/>
        <v>10438.800000000047</v>
      </c>
      <c r="AC297" s="4">
        <f t="shared" si="286"/>
        <v>103.45913346035955</v>
      </c>
      <c r="AD297" s="25"/>
    </row>
    <row r="298" spans="1:30" s="16" customFormat="1" ht="69.599999999999994" customHeight="1" x14ac:dyDescent="0.25">
      <c r="A298" s="34" t="s">
        <v>413</v>
      </c>
      <c r="B298" s="7" t="s">
        <v>5</v>
      </c>
      <c r="C298" s="48" t="s">
        <v>414</v>
      </c>
      <c r="D298" s="49">
        <f t="shared" si="312"/>
        <v>0</v>
      </c>
      <c r="E298" s="49">
        <f t="shared" si="312"/>
        <v>100000</v>
      </c>
      <c r="F298" s="49">
        <f t="shared" si="312"/>
        <v>100000</v>
      </c>
      <c r="G298" s="49">
        <f t="shared" si="312"/>
        <v>133545</v>
      </c>
      <c r="H298" s="49">
        <f t="shared" si="312"/>
        <v>301775</v>
      </c>
      <c r="I298" s="49">
        <f t="shared" si="312"/>
        <v>32868.92</v>
      </c>
      <c r="J298" s="49">
        <f t="shared" si="312"/>
        <v>28438.11</v>
      </c>
      <c r="K298" s="49">
        <f t="shared" si="312"/>
        <v>24794.41</v>
      </c>
      <c r="L298" s="49">
        <f t="shared" si="312"/>
        <v>86101.440000000002</v>
      </c>
      <c r="M298" s="49">
        <f t="shared" si="312"/>
        <v>119422.87000000001</v>
      </c>
      <c r="N298" s="49">
        <f t="shared" si="312"/>
        <v>1851.1800000000003</v>
      </c>
      <c r="O298" s="49">
        <f t="shared" si="312"/>
        <v>42493.81</v>
      </c>
      <c r="P298" s="49">
        <f t="shared" si="312"/>
        <v>163767.86000000002</v>
      </c>
      <c r="Q298" s="4">
        <f t="shared" si="266"/>
        <v>249869.30000000002</v>
      </c>
      <c r="R298" s="49">
        <f t="shared" si="312"/>
        <v>12012.55</v>
      </c>
      <c r="S298" s="49">
        <f t="shared" si="312"/>
        <v>21991.31</v>
      </c>
      <c r="T298" s="49">
        <f t="shared" si="312"/>
        <v>25646.120000000003</v>
      </c>
      <c r="U298" s="4">
        <f t="shared" si="291"/>
        <v>59649.98</v>
      </c>
      <c r="V298" s="4">
        <f t="shared" si="292"/>
        <v>309519.28000000003</v>
      </c>
      <c r="W298" s="49">
        <f t="shared" si="313"/>
        <v>-29477.61</v>
      </c>
      <c r="X298" s="76">
        <f t="shared" si="313"/>
        <v>23078.370000000003</v>
      </c>
      <c r="Y298" s="49">
        <f t="shared" si="313"/>
        <v>9093.76</v>
      </c>
      <c r="Z298" s="4">
        <f t="shared" si="294"/>
        <v>312213.80000000005</v>
      </c>
      <c r="AA298" s="5">
        <f t="shared" si="301"/>
        <v>102.56624306188387</v>
      </c>
      <c r="AB298" s="4">
        <f t="shared" si="285"/>
        <v>10438.800000000047</v>
      </c>
      <c r="AC298" s="4">
        <f t="shared" si="286"/>
        <v>103.45913346035955</v>
      </c>
      <c r="AD298" s="25"/>
    </row>
    <row r="299" spans="1:30" s="16" customFormat="1" ht="26.4" x14ac:dyDescent="0.25">
      <c r="A299" s="34" t="s">
        <v>415</v>
      </c>
      <c r="B299" s="7" t="s">
        <v>5</v>
      </c>
      <c r="C299" s="50" t="s">
        <v>416</v>
      </c>
      <c r="D299" s="49">
        <f t="shared" ref="D299:P299" si="314">+D300+D301</f>
        <v>0</v>
      </c>
      <c r="E299" s="49">
        <f t="shared" si="314"/>
        <v>100000</v>
      </c>
      <c r="F299" s="49">
        <f t="shared" si="314"/>
        <v>100000</v>
      </c>
      <c r="G299" s="49">
        <f t="shared" si="314"/>
        <v>133545</v>
      </c>
      <c r="H299" s="49">
        <f t="shared" si="314"/>
        <v>301775</v>
      </c>
      <c r="I299" s="49">
        <f t="shared" si="314"/>
        <v>32868.92</v>
      </c>
      <c r="J299" s="49">
        <f t="shared" si="314"/>
        <v>28438.11</v>
      </c>
      <c r="K299" s="49">
        <f t="shared" si="314"/>
        <v>24794.41</v>
      </c>
      <c r="L299" s="49">
        <f t="shared" si="314"/>
        <v>86101.440000000002</v>
      </c>
      <c r="M299" s="49">
        <f t="shared" si="314"/>
        <v>119422.87000000001</v>
      </c>
      <c r="N299" s="49">
        <f t="shared" si="314"/>
        <v>1851.1800000000003</v>
      </c>
      <c r="O299" s="49">
        <f t="shared" si="314"/>
        <v>42493.81</v>
      </c>
      <c r="P299" s="49">
        <f t="shared" si="314"/>
        <v>163767.86000000002</v>
      </c>
      <c r="Q299" s="4">
        <f t="shared" si="266"/>
        <v>249869.30000000002</v>
      </c>
      <c r="R299" s="49">
        <f t="shared" ref="R299:T299" si="315">+R300+R301</f>
        <v>12012.55</v>
      </c>
      <c r="S299" s="49">
        <f t="shared" si="315"/>
        <v>21991.31</v>
      </c>
      <c r="T299" s="49">
        <f t="shared" si="315"/>
        <v>25646.120000000003</v>
      </c>
      <c r="U299" s="4">
        <f t="shared" si="291"/>
        <v>59649.98</v>
      </c>
      <c r="V299" s="4">
        <f t="shared" si="292"/>
        <v>309519.28000000003</v>
      </c>
      <c r="W299" s="49">
        <f t="shared" ref="W299:Y299" si="316">+W300+W301</f>
        <v>-29477.61</v>
      </c>
      <c r="X299" s="76">
        <f t="shared" si="316"/>
        <v>23078.370000000003</v>
      </c>
      <c r="Y299" s="49">
        <f t="shared" si="316"/>
        <v>9093.76</v>
      </c>
      <c r="Z299" s="4">
        <f t="shared" si="294"/>
        <v>312213.80000000005</v>
      </c>
      <c r="AA299" s="5">
        <f t="shared" si="301"/>
        <v>102.56624306188387</v>
      </c>
      <c r="AB299" s="4">
        <f t="shared" si="285"/>
        <v>10438.800000000047</v>
      </c>
      <c r="AC299" s="4">
        <f t="shared" si="286"/>
        <v>103.45913346035955</v>
      </c>
      <c r="AD299" s="25"/>
    </row>
    <row r="300" spans="1:30" s="16" customFormat="1" ht="26.4" x14ac:dyDescent="0.25">
      <c r="A300" s="34" t="s">
        <v>417</v>
      </c>
      <c r="B300" s="7" t="s">
        <v>239</v>
      </c>
      <c r="C300" s="48" t="s">
        <v>418</v>
      </c>
      <c r="D300" s="4">
        <v>0</v>
      </c>
      <c r="E300" s="4">
        <v>70000</v>
      </c>
      <c r="F300" s="4">
        <v>70000</v>
      </c>
      <c r="G300" s="4">
        <f>70000+32000</f>
        <v>102000</v>
      </c>
      <c r="H300" s="4">
        <v>191472</v>
      </c>
      <c r="I300" s="4">
        <f>10155.94+5381.07</f>
        <v>15537.01</v>
      </c>
      <c r="J300" s="4">
        <v>19542.82</v>
      </c>
      <c r="K300" s="5">
        <v>22255.78</v>
      </c>
      <c r="L300" s="4">
        <f>I300+J300+K300</f>
        <v>57335.61</v>
      </c>
      <c r="M300" s="4">
        <v>26919.74</v>
      </c>
      <c r="N300" s="4">
        <v>17612.02</v>
      </c>
      <c r="O300" s="5">
        <v>26865.21</v>
      </c>
      <c r="P300" s="4">
        <f>M300+N300+O300</f>
        <v>71396.97</v>
      </c>
      <c r="Q300" s="4">
        <f t="shared" si="266"/>
        <v>128732.58</v>
      </c>
      <c r="R300" s="5">
        <v>11979.17</v>
      </c>
      <c r="S300" s="4">
        <v>10304.77</v>
      </c>
      <c r="T300" s="5">
        <v>10105.51</v>
      </c>
      <c r="U300" s="4">
        <f t="shared" si="291"/>
        <v>32389.450000000004</v>
      </c>
      <c r="V300" s="4">
        <f t="shared" si="292"/>
        <v>161122.03</v>
      </c>
      <c r="W300" s="5">
        <v>10225.58</v>
      </c>
      <c r="X300" s="67">
        <v>10158.85</v>
      </c>
      <c r="Y300" s="5">
        <v>10140.67</v>
      </c>
      <c r="Z300" s="4">
        <f t="shared" si="294"/>
        <v>191647.13</v>
      </c>
      <c r="AA300" s="5">
        <f t="shared" si="301"/>
        <v>84.149134077045204</v>
      </c>
      <c r="AB300" s="4">
        <f t="shared" si="285"/>
        <v>175.13000000000466</v>
      </c>
      <c r="AC300" s="4">
        <f t="shared" si="286"/>
        <v>100.09146507061084</v>
      </c>
      <c r="AD300" s="25"/>
    </row>
    <row r="301" spans="1:30" s="16" customFormat="1" ht="26.4" x14ac:dyDescent="0.25">
      <c r="A301" s="34" t="s">
        <v>417</v>
      </c>
      <c r="B301" s="7" t="s">
        <v>92</v>
      </c>
      <c r="C301" s="48" t="s">
        <v>418</v>
      </c>
      <c r="D301" s="4">
        <v>0</v>
      </c>
      <c r="E301" s="4">
        <v>30000</v>
      </c>
      <c r="F301" s="4">
        <v>30000</v>
      </c>
      <c r="G301" s="4">
        <f>30000+1545</f>
        <v>31545</v>
      </c>
      <c r="H301" s="4">
        <v>110303</v>
      </c>
      <c r="I301" s="4">
        <v>17331.91</v>
      </c>
      <c r="J301" s="4">
        <v>8895.2900000000009</v>
      </c>
      <c r="K301" s="5">
        <v>2538.63</v>
      </c>
      <c r="L301" s="4">
        <f>I301+J301+K301</f>
        <v>28765.83</v>
      </c>
      <c r="M301" s="4">
        <v>92503.13</v>
      </c>
      <c r="N301" s="4">
        <v>-15760.84</v>
      </c>
      <c r="O301" s="5">
        <v>15628.6</v>
      </c>
      <c r="P301" s="4">
        <f>M301+N301+O301</f>
        <v>92370.890000000014</v>
      </c>
      <c r="Q301" s="4">
        <f t="shared" si="266"/>
        <v>121136.72000000002</v>
      </c>
      <c r="R301" s="5">
        <v>33.380000000000003</v>
      </c>
      <c r="S301" s="5">
        <v>11686.54</v>
      </c>
      <c r="T301" s="5">
        <v>15540.61</v>
      </c>
      <c r="U301" s="4">
        <f t="shared" si="291"/>
        <v>27260.53</v>
      </c>
      <c r="V301" s="4">
        <f t="shared" si="292"/>
        <v>148397.25</v>
      </c>
      <c r="W301" s="5">
        <v>-39703.19</v>
      </c>
      <c r="X301" s="69">
        <v>12919.52</v>
      </c>
      <c r="Y301" s="5">
        <v>-1046.9100000000001</v>
      </c>
      <c r="Z301" s="4">
        <f t="shared" si="294"/>
        <v>120566.67</v>
      </c>
      <c r="AA301" s="5">
        <f t="shared" si="301"/>
        <v>134.53600536703445</v>
      </c>
      <c r="AB301" s="4">
        <f t="shared" si="285"/>
        <v>10263.669999999998</v>
      </c>
      <c r="AC301" s="4">
        <f t="shared" si="286"/>
        <v>109.30497810576321</v>
      </c>
      <c r="AD301" s="25"/>
    </row>
    <row r="302" spans="1:30" s="16" customFormat="1" ht="26.4" x14ac:dyDescent="0.25">
      <c r="A302" s="34" t="s">
        <v>419</v>
      </c>
      <c r="B302" s="7" t="s">
        <v>5</v>
      </c>
      <c r="C302" s="48" t="s">
        <v>420</v>
      </c>
      <c r="D302" s="49">
        <f t="shared" ref="D302:T302" si="317">+D303</f>
        <v>0</v>
      </c>
      <c r="E302" s="49">
        <f t="shared" si="317"/>
        <v>-2411820.5200000005</v>
      </c>
      <c r="F302" s="49">
        <f t="shared" si="317"/>
        <v>-2411820.5200000005</v>
      </c>
      <c r="G302" s="49">
        <f t="shared" si="317"/>
        <v>-2445365.5200000005</v>
      </c>
      <c r="H302" s="49">
        <f t="shared" si="317"/>
        <v>-2613595.5200000005</v>
      </c>
      <c r="I302" s="49">
        <f t="shared" si="317"/>
        <v>-2321881.9300000006</v>
      </c>
      <c r="J302" s="49">
        <f t="shared" si="317"/>
        <v>-47081.72</v>
      </c>
      <c r="K302" s="49">
        <f t="shared" si="317"/>
        <v>-31623.25</v>
      </c>
      <c r="L302" s="49">
        <f t="shared" si="317"/>
        <v>-2400586.9000000004</v>
      </c>
      <c r="M302" s="49">
        <f t="shared" si="317"/>
        <v>-10140.280000000001</v>
      </c>
      <c r="N302" s="49">
        <f t="shared" si="317"/>
        <v>-34426.550000000003</v>
      </c>
      <c r="O302" s="49">
        <f t="shared" si="317"/>
        <v>-6830.143</v>
      </c>
      <c r="P302" s="49">
        <f t="shared" si="317"/>
        <v>-51396.972999999998</v>
      </c>
      <c r="Q302" s="4">
        <f t="shared" si="266"/>
        <v>-2451983.8730000006</v>
      </c>
      <c r="R302" s="49">
        <f t="shared" si="317"/>
        <v>-30140.28</v>
      </c>
      <c r="S302" s="49">
        <f t="shared" si="317"/>
        <v>-1718.15</v>
      </c>
      <c r="T302" s="49">
        <f t="shared" si="317"/>
        <v>-87432.97</v>
      </c>
      <c r="U302" s="4">
        <f t="shared" si="291"/>
        <v>-119291.4</v>
      </c>
      <c r="V302" s="4">
        <f t="shared" si="292"/>
        <v>-2571275.2730000005</v>
      </c>
      <c r="W302" s="49">
        <f t="shared" ref="W302:Y302" si="318">+W303</f>
        <v>-10281.34</v>
      </c>
      <c r="X302" s="76">
        <f t="shared" si="318"/>
        <v>-10067.93</v>
      </c>
      <c r="Y302" s="49">
        <f t="shared" si="318"/>
        <v>-37612.22</v>
      </c>
      <c r="Z302" s="4">
        <f t="shared" si="294"/>
        <v>-2629236.7630000007</v>
      </c>
      <c r="AA302" s="5">
        <f t="shared" si="301"/>
        <v>98.380765245572505</v>
      </c>
      <c r="AB302" s="4">
        <f t="shared" si="285"/>
        <v>-15641.24300000025</v>
      </c>
      <c r="AC302" s="4">
        <f t="shared" si="286"/>
        <v>100.59845691042509</v>
      </c>
      <c r="AD302" s="25"/>
    </row>
    <row r="303" spans="1:30" s="16" customFormat="1" ht="39.6" x14ac:dyDescent="0.25">
      <c r="A303" s="34" t="s">
        <v>421</v>
      </c>
      <c r="B303" s="7" t="s">
        <v>5</v>
      </c>
      <c r="C303" s="48" t="s">
        <v>422</v>
      </c>
      <c r="D303" s="49">
        <f t="shared" ref="D303:P303" si="319">+D304+D305+D306+D307+D308</f>
        <v>0</v>
      </c>
      <c r="E303" s="49">
        <f t="shared" si="319"/>
        <v>-2411820.5200000005</v>
      </c>
      <c r="F303" s="49">
        <f t="shared" si="319"/>
        <v>-2411820.5200000005</v>
      </c>
      <c r="G303" s="49">
        <f t="shared" si="319"/>
        <v>-2445365.5200000005</v>
      </c>
      <c r="H303" s="49">
        <f t="shared" si="319"/>
        <v>-2613595.5200000005</v>
      </c>
      <c r="I303" s="49">
        <f t="shared" si="319"/>
        <v>-2321881.9300000006</v>
      </c>
      <c r="J303" s="49">
        <f t="shared" si="319"/>
        <v>-47081.72</v>
      </c>
      <c r="K303" s="49">
        <f t="shared" si="319"/>
        <v>-31623.25</v>
      </c>
      <c r="L303" s="49">
        <f t="shared" si="319"/>
        <v>-2400586.9000000004</v>
      </c>
      <c r="M303" s="49">
        <f t="shared" si="319"/>
        <v>-10140.280000000001</v>
      </c>
      <c r="N303" s="49">
        <f t="shared" si="319"/>
        <v>-34426.550000000003</v>
      </c>
      <c r="O303" s="49">
        <f t="shared" si="319"/>
        <v>-6830.143</v>
      </c>
      <c r="P303" s="49">
        <f t="shared" si="319"/>
        <v>-51396.972999999998</v>
      </c>
      <c r="Q303" s="4">
        <f t="shared" si="266"/>
        <v>-2451983.8730000006</v>
      </c>
      <c r="R303" s="49">
        <f t="shared" ref="R303:T303" si="320">+R304+R305+R306+R307+R308</f>
        <v>-30140.28</v>
      </c>
      <c r="S303" s="49">
        <f t="shared" si="320"/>
        <v>-1718.15</v>
      </c>
      <c r="T303" s="49">
        <f t="shared" si="320"/>
        <v>-87432.97</v>
      </c>
      <c r="U303" s="4">
        <f t="shared" si="291"/>
        <v>-119291.4</v>
      </c>
      <c r="V303" s="4">
        <f t="shared" si="292"/>
        <v>-2571275.2730000005</v>
      </c>
      <c r="W303" s="49">
        <f t="shared" ref="W303:Y303" si="321">+W304+W305+W306+W307+W308</f>
        <v>-10281.34</v>
      </c>
      <c r="X303" s="76">
        <f t="shared" si="321"/>
        <v>-10067.93</v>
      </c>
      <c r="Y303" s="49">
        <f t="shared" si="321"/>
        <v>-37612.22</v>
      </c>
      <c r="Z303" s="4">
        <f t="shared" si="294"/>
        <v>-2629236.7630000007</v>
      </c>
      <c r="AA303" s="5">
        <f t="shared" si="301"/>
        <v>98.380765245572505</v>
      </c>
      <c r="AB303" s="4">
        <f t="shared" si="285"/>
        <v>-15641.24300000025</v>
      </c>
      <c r="AC303" s="4">
        <f t="shared" si="286"/>
        <v>100.59845691042509</v>
      </c>
      <c r="AD303" s="25"/>
    </row>
    <row r="304" spans="1:30" s="16" customFormat="1" ht="39.6" x14ac:dyDescent="0.25">
      <c r="A304" s="51" t="s">
        <v>423</v>
      </c>
      <c r="B304" s="7" t="s">
        <v>239</v>
      </c>
      <c r="C304" s="52" t="s">
        <v>424</v>
      </c>
      <c r="D304" s="4">
        <v>0</v>
      </c>
      <c r="E304" s="4">
        <v>-70000</v>
      </c>
      <c r="F304" s="4">
        <v>-70000</v>
      </c>
      <c r="G304" s="4">
        <f>-70000-32000</f>
        <v>-102000</v>
      </c>
      <c r="H304" s="4">
        <v>-191472</v>
      </c>
      <c r="I304" s="4">
        <v>-10061.41</v>
      </c>
      <c r="J304" s="4">
        <v>-15537.01</v>
      </c>
      <c r="K304" s="5">
        <v>-31623.25</v>
      </c>
      <c r="L304" s="4">
        <f>I304+J304+K304</f>
        <v>-57221.67</v>
      </c>
      <c r="M304" s="43">
        <v>-10140.280000000001</v>
      </c>
      <c r="N304" s="4">
        <v>-34426.550000000003</v>
      </c>
      <c r="O304" s="5">
        <v>-6830.143</v>
      </c>
      <c r="P304" s="4">
        <f>M304+N304+O304</f>
        <v>-51396.972999999998</v>
      </c>
      <c r="Q304" s="4">
        <f t="shared" si="266"/>
        <v>-108618.643</v>
      </c>
      <c r="R304" s="5">
        <v>-30140.28</v>
      </c>
      <c r="S304" s="5">
        <v>-1718.15</v>
      </c>
      <c r="T304" s="5">
        <v>-20565.7</v>
      </c>
      <c r="U304" s="4">
        <f t="shared" si="291"/>
        <v>-52424.130000000005</v>
      </c>
      <c r="V304" s="4">
        <f t="shared" si="292"/>
        <v>-161042.77299999999</v>
      </c>
      <c r="W304" s="5">
        <v>-10281.34</v>
      </c>
      <c r="X304" s="69">
        <v>-10067.93</v>
      </c>
      <c r="Y304" s="5">
        <v>-10140.67</v>
      </c>
      <c r="Z304" s="4">
        <f t="shared" si="294"/>
        <v>-191532.71299999999</v>
      </c>
      <c r="AA304" s="5">
        <f t="shared" si="301"/>
        <v>84.107740557366085</v>
      </c>
      <c r="AB304" s="4">
        <f t="shared" si="285"/>
        <v>-60.712999999988824</v>
      </c>
      <c r="AC304" s="4">
        <f t="shared" si="286"/>
        <v>100.03170855268655</v>
      </c>
      <c r="AD304" s="25"/>
    </row>
    <row r="305" spans="1:30" s="16" customFormat="1" ht="39.6" x14ac:dyDescent="0.25">
      <c r="A305" s="51" t="s">
        <v>425</v>
      </c>
      <c r="B305" s="7" t="s">
        <v>312</v>
      </c>
      <c r="C305" s="52" t="s">
        <v>426</v>
      </c>
      <c r="D305" s="4">
        <v>0</v>
      </c>
      <c r="E305" s="4">
        <v>-2203884.2200000002</v>
      </c>
      <c r="F305" s="4">
        <v>-2203884.2200000002</v>
      </c>
      <c r="G305" s="4">
        <v>-2203884.2200000002</v>
      </c>
      <c r="H305" s="4">
        <v>-2203884.2200000002</v>
      </c>
      <c r="I305" s="4">
        <v>-2203884.2200000002</v>
      </c>
      <c r="J305" s="4"/>
      <c r="K305" s="5">
        <v>0</v>
      </c>
      <c r="L305" s="4">
        <f>I305+J305+K305</f>
        <v>-2203884.2200000002</v>
      </c>
      <c r="M305" s="43"/>
      <c r="N305" s="4"/>
      <c r="O305" s="5">
        <v>0</v>
      </c>
      <c r="P305" s="4">
        <f t="shared" ref="P305:P308" si="322">M305+N305+O305</f>
        <v>0</v>
      </c>
      <c r="Q305" s="4">
        <f t="shared" si="266"/>
        <v>-2203884.2200000002</v>
      </c>
      <c r="R305" s="5">
        <v>0</v>
      </c>
      <c r="S305" s="5">
        <v>0</v>
      </c>
      <c r="T305" s="5">
        <v>0</v>
      </c>
      <c r="U305" s="4">
        <f t="shared" si="291"/>
        <v>0</v>
      </c>
      <c r="V305" s="4">
        <f t="shared" si="292"/>
        <v>-2203884.2200000002</v>
      </c>
      <c r="W305" s="5">
        <v>0</v>
      </c>
      <c r="X305" s="69">
        <v>0</v>
      </c>
      <c r="Y305" s="5">
        <v>0</v>
      </c>
      <c r="Z305" s="4">
        <f t="shared" si="294"/>
        <v>-2203884.2200000002</v>
      </c>
      <c r="AA305" s="5">
        <f t="shared" si="301"/>
        <v>100</v>
      </c>
      <c r="AB305" s="4">
        <f t="shared" si="285"/>
        <v>0</v>
      </c>
      <c r="AC305" s="4">
        <f t="shared" si="286"/>
        <v>100</v>
      </c>
      <c r="AD305" s="25"/>
    </row>
    <row r="306" spans="1:30" s="16" customFormat="1" ht="39.6" x14ac:dyDescent="0.25">
      <c r="A306" s="51" t="s">
        <v>427</v>
      </c>
      <c r="B306" s="7" t="s">
        <v>295</v>
      </c>
      <c r="C306" s="52" t="s">
        <v>428</v>
      </c>
      <c r="D306" s="4">
        <v>0</v>
      </c>
      <c r="E306" s="4">
        <v>-102039.1</v>
      </c>
      <c r="F306" s="4">
        <v>-102039.1</v>
      </c>
      <c r="G306" s="4">
        <v>-102039.1</v>
      </c>
      <c r="H306" s="4">
        <v>-102039.1</v>
      </c>
      <c r="I306" s="4">
        <v>-102039.1</v>
      </c>
      <c r="J306" s="4"/>
      <c r="K306" s="5">
        <v>0</v>
      </c>
      <c r="L306" s="4">
        <f>I306+J306+K306</f>
        <v>-102039.1</v>
      </c>
      <c r="M306" s="43"/>
      <c r="N306" s="4"/>
      <c r="O306" s="5">
        <v>0</v>
      </c>
      <c r="P306" s="4">
        <f t="shared" si="322"/>
        <v>0</v>
      </c>
      <c r="Q306" s="4">
        <f t="shared" si="266"/>
        <v>-102039.1</v>
      </c>
      <c r="R306" s="5">
        <v>0</v>
      </c>
      <c r="S306" s="5">
        <v>0</v>
      </c>
      <c r="T306" s="5">
        <v>0</v>
      </c>
      <c r="U306" s="4">
        <f t="shared" si="291"/>
        <v>0</v>
      </c>
      <c r="V306" s="4">
        <f t="shared" si="292"/>
        <v>-102039.1</v>
      </c>
      <c r="W306" s="5">
        <v>0</v>
      </c>
      <c r="X306" s="69">
        <v>0</v>
      </c>
      <c r="Y306" s="5">
        <v>0</v>
      </c>
      <c r="Z306" s="67">
        <f t="shared" si="294"/>
        <v>-102039.1</v>
      </c>
      <c r="AA306" s="5">
        <f t="shared" si="301"/>
        <v>100</v>
      </c>
      <c r="AB306" s="4">
        <f t="shared" si="285"/>
        <v>0</v>
      </c>
      <c r="AC306" s="4">
        <f t="shared" si="286"/>
        <v>100</v>
      </c>
      <c r="AD306" s="25"/>
    </row>
    <row r="307" spans="1:30" s="16" customFormat="1" ht="39.6" x14ac:dyDescent="0.25">
      <c r="A307" s="51" t="s">
        <v>427</v>
      </c>
      <c r="B307" s="7" t="s">
        <v>239</v>
      </c>
      <c r="C307" s="52" t="s">
        <v>428</v>
      </c>
      <c r="D307" s="4">
        <v>0</v>
      </c>
      <c r="E307" s="4">
        <v>-5698.2</v>
      </c>
      <c r="F307" s="4">
        <v>-5698.2</v>
      </c>
      <c r="G307" s="4">
        <v>-5698.2</v>
      </c>
      <c r="H307" s="4">
        <v>-5698.2</v>
      </c>
      <c r="I307" s="4">
        <v>-5698.2</v>
      </c>
      <c r="J307" s="4"/>
      <c r="K307" s="5">
        <v>0</v>
      </c>
      <c r="L307" s="4">
        <f>I307+J307+K307</f>
        <v>-5698.2</v>
      </c>
      <c r="M307" s="43"/>
      <c r="N307" s="4"/>
      <c r="O307" s="5">
        <v>0</v>
      </c>
      <c r="P307" s="4">
        <f>M307+N307+O307</f>
        <v>0</v>
      </c>
      <c r="Q307" s="4">
        <f t="shared" si="266"/>
        <v>-5698.2</v>
      </c>
      <c r="R307" s="5">
        <v>0</v>
      </c>
      <c r="S307" s="5">
        <v>0</v>
      </c>
      <c r="T307" s="5">
        <v>0</v>
      </c>
      <c r="U307" s="4">
        <f t="shared" si="291"/>
        <v>0</v>
      </c>
      <c r="V307" s="4">
        <f t="shared" si="292"/>
        <v>-5698.2</v>
      </c>
      <c r="W307" s="5">
        <v>0</v>
      </c>
      <c r="X307" s="69">
        <v>0</v>
      </c>
      <c r="Y307" s="5">
        <v>0</v>
      </c>
      <c r="Z307" s="4">
        <f t="shared" si="294"/>
        <v>-5698.2</v>
      </c>
      <c r="AA307" s="5">
        <f t="shared" si="301"/>
        <v>100</v>
      </c>
      <c r="AB307" s="4">
        <f t="shared" si="285"/>
        <v>0</v>
      </c>
      <c r="AC307" s="4">
        <f t="shared" si="286"/>
        <v>100</v>
      </c>
      <c r="AD307" s="25"/>
    </row>
    <row r="308" spans="1:30" s="16" customFormat="1" ht="39.6" x14ac:dyDescent="0.25">
      <c r="A308" s="51" t="s">
        <v>427</v>
      </c>
      <c r="B308" s="7" t="s">
        <v>92</v>
      </c>
      <c r="C308" s="52" t="s">
        <v>428</v>
      </c>
      <c r="D308" s="4">
        <v>0</v>
      </c>
      <c r="E308" s="4">
        <v>-30199</v>
      </c>
      <c r="F308" s="4">
        <v>-30199</v>
      </c>
      <c r="G308" s="4">
        <f>-30199-1545</f>
        <v>-31744</v>
      </c>
      <c r="H308" s="4">
        <v>-110502</v>
      </c>
      <c r="I308" s="4">
        <v>-199</v>
      </c>
      <c r="J308" s="4">
        <v>-31544.71</v>
      </c>
      <c r="K308" s="5">
        <v>0</v>
      </c>
      <c r="L308" s="4">
        <f>I308+J308+K308</f>
        <v>-31743.71</v>
      </c>
      <c r="M308" s="43"/>
      <c r="N308" s="4"/>
      <c r="O308" s="5">
        <v>0</v>
      </c>
      <c r="P308" s="4">
        <f t="shared" si="322"/>
        <v>0</v>
      </c>
      <c r="Q308" s="4">
        <f t="shared" si="266"/>
        <v>-31743.71</v>
      </c>
      <c r="R308" s="5">
        <v>0</v>
      </c>
      <c r="S308" s="5">
        <v>0</v>
      </c>
      <c r="T308" s="5">
        <v>-66867.27</v>
      </c>
      <c r="U308" s="4">
        <f t="shared" si="291"/>
        <v>-66867.27</v>
      </c>
      <c r="V308" s="4">
        <f t="shared" si="292"/>
        <v>-98610.98000000001</v>
      </c>
      <c r="W308" s="5">
        <v>0</v>
      </c>
      <c r="X308" s="69">
        <v>0</v>
      </c>
      <c r="Y308" s="5">
        <v>-27471.55</v>
      </c>
      <c r="Z308" s="4">
        <f t="shared" si="294"/>
        <v>-126082.53000000001</v>
      </c>
      <c r="AA308" s="5">
        <f t="shared" si="301"/>
        <v>89.239090695191052</v>
      </c>
      <c r="AB308" s="4">
        <f t="shared" si="285"/>
        <v>-15580.530000000013</v>
      </c>
      <c r="AC308" s="4">
        <f t="shared" si="286"/>
        <v>114.09977194982896</v>
      </c>
      <c r="AD308" s="25"/>
    </row>
    <row r="309" spans="1:30" s="53" customFormat="1" x14ac:dyDescent="0.25">
      <c r="A309" s="1" t="s">
        <v>343</v>
      </c>
      <c r="B309" s="7"/>
      <c r="C309" s="3"/>
      <c r="D309" s="4">
        <f t="shared" ref="D309:P309" si="323">+D11+D221</f>
        <v>2840804039.8199997</v>
      </c>
      <c r="E309" s="4">
        <f t="shared" si="323"/>
        <v>2892267444.3000002</v>
      </c>
      <c r="F309" s="4">
        <f t="shared" si="323"/>
        <v>2896443444.3000002</v>
      </c>
      <c r="G309" s="4">
        <f t="shared" si="323"/>
        <v>2920102352.3000002</v>
      </c>
      <c r="H309" s="4">
        <f t="shared" si="323"/>
        <v>3486404861.2530003</v>
      </c>
      <c r="I309" s="4">
        <f t="shared" si="323"/>
        <v>200951906.65999997</v>
      </c>
      <c r="J309" s="4">
        <f t="shared" si="323"/>
        <v>232612747.70999998</v>
      </c>
      <c r="K309" s="4">
        <f t="shared" si="323"/>
        <v>419449177.48000002</v>
      </c>
      <c r="L309" s="4">
        <f t="shared" si="323"/>
        <v>853013831.85000002</v>
      </c>
      <c r="M309" s="4">
        <f t="shared" si="323"/>
        <v>268656775.47000003</v>
      </c>
      <c r="N309" s="4">
        <f t="shared" si="323"/>
        <v>295942121.44</v>
      </c>
      <c r="O309" s="4">
        <f t="shared" si="323"/>
        <v>287503342.287</v>
      </c>
      <c r="P309" s="4">
        <f t="shared" si="323"/>
        <v>852102239.19700003</v>
      </c>
      <c r="Q309" s="4">
        <f t="shared" si="266"/>
        <v>1705116071.0469999</v>
      </c>
      <c r="R309" s="4">
        <f>+R11+R221</f>
        <v>283797501.39999998</v>
      </c>
      <c r="S309" s="4">
        <f>+S11+S221</f>
        <v>173532234.08999997</v>
      </c>
      <c r="T309" s="4">
        <f>+T11+T221</f>
        <v>206717963.54999995</v>
      </c>
      <c r="U309" s="4">
        <f t="shared" si="291"/>
        <v>664047699.03999996</v>
      </c>
      <c r="V309" s="4">
        <f t="shared" si="292"/>
        <v>2369163770.0869999</v>
      </c>
      <c r="W309" s="4">
        <f>+W11+W221</f>
        <v>378361647.62</v>
      </c>
      <c r="X309" s="67">
        <f>+X11+X221</f>
        <v>223096256.74000001</v>
      </c>
      <c r="Y309" s="4">
        <f>+Y11+Y221</f>
        <v>440556711.73999995</v>
      </c>
      <c r="Z309" s="4">
        <f>L309+P309+U309+W309+X309+Y309</f>
        <v>3411178386.1869993</v>
      </c>
      <c r="AA309" s="5">
        <f t="shared" si="301"/>
        <v>67.954350236751665</v>
      </c>
      <c r="AB309" s="4">
        <f t="shared" si="285"/>
        <v>-75226475.066000938</v>
      </c>
      <c r="AC309" s="4">
        <f t="shared" si="286"/>
        <v>97.842290896790317</v>
      </c>
    </row>
    <row r="310" spans="1:30" s="44" customFormat="1" ht="26.4" x14ac:dyDescent="0.25">
      <c r="A310" s="1" t="s">
        <v>344</v>
      </c>
      <c r="B310" s="7" t="s">
        <v>5</v>
      </c>
      <c r="C310" s="3" t="s">
        <v>345</v>
      </c>
      <c r="D310" s="4">
        <f t="shared" ref="D310:G310" si="324">+D311+D322+D314+D318</f>
        <v>12108492</v>
      </c>
      <c r="E310" s="4">
        <f t="shared" si="324"/>
        <v>12108492</v>
      </c>
      <c r="F310" s="4">
        <f t="shared" si="324"/>
        <v>12108492</v>
      </c>
      <c r="G310" s="4">
        <f t="shared" si="324"/>
        <v>12108492</v>
      </c>
      <c r="H310" s="4">
        <f>+H311+H322+H314+H318</f>
        <v>66578395.65999984</v>
      </c>
      <c r="I310" s="4">
        <f t="shared" ref="I310:T310" si="325">+I311+I322+I314+I318</f>
        <v>0</v>
      </c>
      <c r="J310" s="4">
        <f t="shared" si="325"/>
        <v>0</v>
      </c>
      <c r="K310" s="4">
        <f t="shared" si="325"/>
        <v>0</v>
      </c>
      <c r="L310" s="4">
        <f t="shared" si="325"/>
        <v>-13898532.440000057</v>
      </c>
      <c r="M310" s="4">
        <f t="shared" si="325"/>
        <v>0</v>
      </c>
      <c r="N310" s="4">
        <f t="shared" si="325"/>
        <v>0</v>
      </c>
      <c r="O310" s="4">
        <f t="shared" si="325"/>
        <v>0</v>
      </c>
      <c r="P310" s="4">
        <f t="shared" si="325"/>
        <v>0</v>
      </c>
      <c r="Q310" s="4">
        <f t="shared" si="325"/>
        <v>-13898532.440000057</v>
      </c>
      <c r="R310" s="4">
        <f t="shared" si="325"/>
        <v>0</v>
      </c>
      <c r="S310" s="4">
        <f t="shared" si="325"/>
        <v>0</v>
      </c>
      <c r="T310" s="4">
        <f t="shared" si="325"/>
        <v>0</v>
      </c>
      <c r="U310" s="4">
        <f t="shared" si="291"/>
        <v>0</v>
      </c>
      <c r="V310" s="4">
        <f t="shared" si="292"/>
        <v>-13898532.440000057</v>
      </c>
      <c r="W310" s="4">
        <f t="shared" ref="W310:Y310" si="326">+W311+W322+W314+W318</f>
        <v>0</v>
      </c>
      <c r="X310" s="67">
        <f t="shared" si="326"/>
        <v>0</v>
      </c>
      <c r="Y310" s="4">
        <f t="shared" si="326"/>
        <v>0</v>
      </c>
      <c r="Z310" s="4">
        <f>+Z311+Z322+Z314+Z318</f>
        <v>6027033.2700000033</v>
      </c>
      <c r="AA310" s="5">
        <f t="shared" si="301"/>
        <v>-20.875439100360101</v>
      </c>
      <c r="AB310" s="4">
        <f t="shared" si="285"/>
        <v>-60551362.389999837</v>
      </c>
      <c r="AC310" s="4">
        <f>Z310/H310*100</f>
        <v>9.0525360520530427</v>
      </c>
    </row>
    <row r="311" spans="1:30" s="16" customFormat="1" ht="16.2" customHeight="1" x14ac:dyDescent="0.25">
      <c r="A311" s="1" t="s">
        <v>346</v>
      </c>
      <c r="B311" s="7" t="s">
        <v>5</v>
      </c>
      <c r="C311" s="3" t="s">
        <v>347</v>
      </c>
      <c r="D311" s="4">
        <f t="shared" ref="D311:S312" si="327">+D312</f>
        <v>55833593.710000001</v>
      </c>
      <c r="E311" s="4">
        <f t="shared" si="327"/>
        <v>55833593.710000001</v>
      </c>
      <c r="F311" s="4">
        <f t="shared" si="327"/>
        <v>55833593.710000001</v>
      </c>
      <c r="G311" s="4">
        <f t="shared" si="327"/>
        <v>55833593.710000001</v>
      </c>
      <c r="H311" s="4">
        <f t="shared" si="327"/>
        <v>109349361.95999999</v>
      </c>
      <c r="I311" s="4">
        <f t="shared" si="327"/>
        <v>0</v>
      </c>
      <c r="J311" s="4">
        <f t="shared" si="327"/>
        <v>0</v>
      </c>
      <c r="K311" s="4">
        <f t="shared" si="327"/>
        <v>0</v>
      </c>
      <c r="L311" s="4">
        <f t="shared" si="327"/>
        <v>0</v>
      </c>
      <c r="M311" s="4">
        <f t="shared" si="327"/>
        <v>0</v>
      </c>
      <c r="N311" s="4">
        <f t="shared" si="327"/>
        <v>0</v>
      </c>
      <c r="O311" s="4">
        <f t="shared" si="327"/>
        <v>0</v>
      </c>
      <c r="P311" s="4">
        <f t="shared" si="327"/>
        <v>0</v>
      </c>
      <c r="Q311" s="4">
        <f t="shared" si="327"/>
        <v>0</v>
      </c>
      <c r="R311" s="4">
        <f t="shared" si="327"/>
        <v>0</v>
      </c>
      <c r="S311" s="4">
        <f t="shared" si="327"/>
        <v>0</v>
      </c>
      <c r="T311" s="4">
        <f t="shared" ref="T311:Z312" si="328">+T312</f>
        <v>0</v>
      </c>
      <c r="U311" s="4">
        <f t="shared" si="291"/>
        <v>0</v>
      </c>
      <c r="V311" s="4">
        <f t="shared" si="292"/>
        <v>0</v>
      </c>
      <c r="W311" s="4">
        <f t="shared" si="328"/>
        <v>0</v>
      </c>
      <c r="X311" s="67">
        <f t="shared" si="328"/>
        <v>0</v>
      </c>
      <c r="Y311" s="4">
        <f t="shared" si="328"/>
        <v>0</v>
      </c>
      <c r="Z311" s="4">
        <f t="shared" si="328"/>
        <v>43000000</v>
      </c>
      <c r="AA311" s="5">
        <f t="shared" si="301"/>
        <v>0</v>
      </c>
      <c r="AB311" s="4">
        <f t="shared" si="285"/>
        <v>-66349361.959999993</v>
      </c>
      <c r="AC311" s="4">
        <f t="shared" si="286"/>
        <v>39.323503337613808</v>
      </c>
    </row>
    <row r="312" spans="1:30" s="44" customFormat="1" ht="26.4" x14ac:dyDescent="0.25">
      <c r="A312" s="1" t="s">
        <v>348</v>
      </c>
      <c r="B312" s="7" t="s">
        <v>5</v>
      </c>
      <c r="C312" s="3" t="s">
        <v>349</v>
      </c>
      <c r="D312" s="4">
        <f t="shared" si="327"/>
        <v>55833593.710000001</v>
      </c>
      <c r="E312" s="4">
        <f t="shared" si="327"/>
        <v>55833593.710000001</v>
      </c>
      <c r="F312" s="4">
        <f t="shared" si="327"/>
        <v>55833593.710000001</v>
      </c>
      <c r="G312" s="4">
        <f t="shared" si="327"/>
        <v>55833593.710000001</v>
      </c>
      <c r="H312" s="4">
        <f>+H313</f>
        <v>109349361.95999999</v>
      </c>
      <c r="I312" s="4">
        <f t="shared" si="327"/>
        <v>0</v>
      </c>
      <c r="J312" s="4">
        <f t="shared" si="327"/>
        <v>0</v>
      </c>
      <c r="K312" s="4">
        <f t="shared" si="327"/>
        <v>0</v>
      </c>
      <c r="L312" s="4">
        <f t="shared" si="327"/>
        <v>0</v>
      </c>
      <c r="M312" s="4">
        <f t="shared" si="327"/>
        <v>0</v>
      </c>
      <c r="N312" s="4">
        <f t="shared" si="327"/>
        <v>0</v>
      </c>
      <c r="O312" s="4">
        <f t="shared" si="327"/>
        <v>0</v>
      </c>
      <c r="P312" s="4">
        <f t="shared" si="327"/>
        <v>0</v>
      </c>
      <c r="Q312" s="4">
        <f t="shared" si="327"/>
        <v>0</v>
      </c>
      <c r="R312" s="4">
        <f t="shared" si="327"/>
        <v>0</v>
      </c>
      <c r="S312" s="4">
        <f t="shared" si="327"/>
        <v>0</v>
      </c>
      <c r="T312" s="4">
        <f t="shared" si="328"/>
        <v>0</v>
      </c>
      <c r="U312" s="4">
        <f t="shared" si="291"/>
        <v>0</v>
      </c>
      <c r="V312" s="4">
        <f t="shared" si="292"/>
        <v>0</v>
      </c>
      <c r="W312" s="4">
        <f t="shared" si="328"/>
        <v>0</v>
      </c>
      <c r="X312" s="67">
        <f t="shared" si="328"/>
        <v>0</v>
      </c>
      <c r="Y312" s="4">
        <f t="shared" si="328"/>
        <v>0</v>
      </c>
      <c r="Z312" s="4">
        <f>+Z313</f>
        <v>43000000</v>
      </c>
      <c r="AA312" s="5">
        <f t="shared" si="301"/>
        <v>0</v>
      </c>
      <c r="AB312" s="4">
        <f t="shared" si="285"/>
        <v>-66349361.959999993</v>
      </c>
      <c r="AC312" s="4">
        <f t="shared" si="286"/>
        <v>39.323503337613808</v>
      </c>
    </row>
    <row r="313" spans="1:30" s="44" customFormat="1" ht="26.4" x14ac:dyDescent="0.25">
      <c r="A313" s="1" t="s">
        <v>350</v>
      </c>
      <c r="B313" s="7" t="s">
        <v>290</v>
      </c>
      <c r="C313" s="3" t="s">
        <v>351</v>
      </c>
      <c r="D313" s="4">
        <v>55833593.710000001</v>
      </c>
      <c r="E313" s="4">
        <v>55833593.710000001</v>
      </c>
      <c r="F313" s="4">
        <v>55833593.710000001</v>
      </c>
      <c r="G313" s="4">
        <v>55833593.710000001</v>
      </c>
      <c r="H313" s="4">
        <v>109349361.95999999</v>
      </c>
      <c r="I313" s="4"/>
      <c r="J313" s="4"/>
      <c r="K313" s="4"/>
      <c r="L313" s="4">
        <f>I313+J313+K313</f>
        <v>0</v>
      </c>
      <c r="M313" s="4"/>
      <c r="N313" s="4"/>
      <c r="O313" s="4"/>
      <c r="P313" s="4">
        <f t="shared" ref="P313" si="329">M313+N313+O313</f>
        <v>0</v>
      </c>
      <c r="Q313" s="4">
        <f t="shared" si="266"/>
        <v>0</v>
      </c>
      <c r="R313" s="4"/>
      <c r="S313" s="4"/>
      <c r="T313" s="4"/>
      <c r="U313" s="4">
        <f t="shared" si="291"/>
        <v>0</v>
      </c>
      <c r="V313" s="4">
        <f t="shared" si="292"/>
        <v>0</v>
      </c>
      <c r="W313" s="4"/>
      <c r="X313" s="67"/>
      <c r="Y313" s="4"/>
      <c r="Z313" s="4">
        <v>43000000</v>
      </c>
      <c r="AA313" s="5">
        <f t="shared" si="301"/>
        <v>0</v>
      </c>
      <c r="AB313" s="4">
        <f t="shared" si="285"/>
        <v>-66349361.959999993</v>
      </c>
      <c r="AC313" s="4">
        <f t="shared" si="286"/>
        <v>39.323503337613808</v>
      </c>
    </row>
    <row r="314" spans="1:30" s="44" customFormat="1" ht="26.4" x14ac:dyDescent="0.25">
      <c r="A314" s="104" t="s">
        <v>352</v>
      </c>
      <c r="B314" s="7" t="s">
        <v>5</v>
      </c>
      <c r="C314" s="54" t="s">
        <v>353</v>
      </c>
      <c r="D314" s="4">
        <f t="shared" ref="D314:W316" si="330">+D315</f>
        <v>-43725101.710000001</v>
      </c>
      <c r="E314" s="4">
        <f t="shared" si="330"/>
        <v>-43725101.710000001</v>
      </c>
      <c r="F314" s="4">
        <f t="shared" si="330"/>
        <v>-43725101.710000001</v>
      </c>
      <c r="G314" s="4">
        <f t="shared" si="330"/>
        <v>-43725101.710000001</v>
      </c>
      <c r="H314" s="4">
        <f t="shared" si="330"/>
        <v>-56732101.710000001</v>
      </c>
      <c r="I314" s="4">
        <f t="shared" si="330"/>
        <v>0</v>
      </c>
      <c r="J314" s="4">
        <f t="shared" si="330"/>
        <v>0</v>
      </c>
      <c r="K314" s="4">
        <f t="shared" si="330"/>
        <v>0</v>
      </c>
      <c r="L314" s="4">
        <f t="shared" si="330"/>
        <v>0</v>
      </c>
      <c r="M314" s="4">
        <f t="shared" si="330"/>
        <v>0</v>
      </c>
      <c r="N314" s="4">
        <f t="shared" si="330"/>
        <v>0</v>
      </c>
      <c r="O314" s="4">
        <f t="shared" si="330"/>
        <v>0</v>
      </c>
      <c r="P314" s="4">
        <f t="shared" si="330"/>
        <v>0</v>
      </c>
      <c r="Q314" s="4">
        <f t="shared" si="330"/>
        <v>0</v>
      </c>
      <c r="R314" s="4">
        <f t="shared" si="330"/>
        <v>0</v>
      </c>
      <c r="S314" s="4">
        <f t="shared" si="330"/>
        <v>0</v>
      </c>
      <c r="T314" s="4">
        <f t="shared" si="330"/>
        <v>0</v>
      </c>
      <c r="U314" s="4">
        <f t="shared" si="291"/>
        <v>0</v>
      </c>
      <c r="V314" s="4">
        <f t="shared" si="292"/>
        <v>0</v>
      </c>
      <c r="W314" s="4">
        <f t="shared" si="330"/>
        <v>0</v>
      </c>
      <c r="X314" s="67">
        <f t="shared" ref="W314:Z316" si="331">+X315</f>
        <v>0</v>
      </c>
      <c r="Y314" s="4">
        <f t="shared" si="331"/>
        <v>0</v>
      </c>
      <c r="Z314" s="4">
        <f t="shared" si="331"/>
        <v>-43725101.710000001</v>
      </c>
      <c r="AA314" s="5">
        <f t="shared" si="301"/>
        <v>0</v>
      </c>
      <c r="AB314" s="4">
        <f t="shared" si="285"/>
        <v>13007000</v>
      </c>
      <c r="AC314" s="4">
        <f t="shared" si="286"/>
        <v>77.072945285037292</v>
      </c>
    </row>
    <row r="315" spans="1:30" s="44" customFormat="1" ht="26.4" x14ac:dyDescent="0.25">
      <c r="A315" s="104" t="s">
        <v>354</v>
      </c>
      <c r="B315" s="7" t="s">
        <v>5</v>
      </c>
      <c r="C315" s="54" t="s">
        <v>355</v>
      </c>
      <c r="D315" s="4">
        <f t="shared" si="330"/>
        <v>-43725101.710000001</v>
      </c>
      <c r="E315" s="4">
        <f t="shared" si="330"/>
        <v>-43725101.710000001</v>
      </c>
      <c r="F315" s="4">
        <f t="shared" si="330"/>
        <v>-43725101.710000001</v>
      </c>
      <c r="G315" s="4">
        <f t="shared" si="330"/>
        <v>-43725101.710000001</v>
      </c>
      <c r="H315" s="4">
        <f t="shared" si="330"/>
        <v>-56732101.710000001</v>
      </c>
      <c r="I315" s="4">
        <f t="shared" si="330"/>
        <v>0</v>
      </c>
      <c r="J315" s="4">
        <f t="shared" si="330"/>
        <v>0</v>
      </c>
      <c r="K315" s="4">
        <f t="shared" si="330"/>
        <v>0</v>
      </c>
      <c r="L315" s="4">
        <f t="shared" si="330"/>
        <v>0</v>
      </c>
      <c r="M315" s="4">
        <f t="shared" si="330"/>
        <v>0</v>
      </c>
      <c r="N315" s="4">
        <f t="shared" si="330"/>
        <v>0</v>
      </c>
      <c r="O315" s="4">
        <f t="shared" si="330"/>
        <v>0</v>
      </c>
      <c r="P315" s="4">
        <f t="shared" si="330"/>
        <v>0</v>
      </c>
      <c r="Q315" s="4">
        <f t="shared" si="330"/>
        <v>0</v>
      </c>
      <c r="R315" s="4">
        <f t="shared" si="330"/>
        <v>0</v>
      </c>
      <c r="S315" s="4">
        <f t="shared" si="330"/>
        <v>0</v>
      </c>
      <c r="T315" s="4">
        <f t="shared" si="330"/>
        <v>0</v>
      </c>
      <c r="U315" s="4">
        <f t="shared" si="291"/>
        <v>0</v>
      </c>
      <c r="V315" s="4">
        <f t="shared" si="292"/>
        <v>0</v>
      </c>
      <c r="W315" s="4">
        <f t="shared" si="331"/>
        <v>0</v>
      </c>
      <c r="X315" s="67">
        <f t="shared" si="331"/>
        <v>0</v>
      </c>
      <c r="Y315" s="4">
        <f t="shared" si="331"/>
        <v>0</v>
      </c>
      <c r="Z315" s="4">
        <f t="shared" si="331"/>
        <v>-43725101.710000001</v>
      </c>
      <c r="AA315" s="5">
        <f t="shared" si="301"/>
        <v>0</v>
      </c>
      <c r="AB315" s="4">
        <f t="shared" si="285"/>
        <v>13007000</v>
      </c>
      <c r="AC315" s="4">
        <f t="shared" si="286"/>
        <v>77.072945285037292</v>
      </c>
    </row>
    <row r="316" spans="1:30" s="44" customFormat="1" ht="39.6" x14ac:dyDescent="0.25">
      <c r="A316" s="34" t="s">
        <v>356</v>
      </c>
      <c r="B316" s="55" t="s">
        <v>5</v>
      </c>
      <c r="C316" s="56" t="s">
        <v>357</v>
      </c>
      <c r="D316" s="4">
        <f t="shared" si="330"/>
        <v>-43725101.710000001</v>
      </c>
      <c r="E316" s="4">
        <f t="shared" si="330"/>
        <v>-43725101.710000001</v>
      </c>
      <c r="F316" s="4">
        <f t="shared" si="330"/>
        <v>-43725101.710000001</v>
      </c>
      <c r="G316" s="4">
        <f t="shared" si="330"/>
        <v>-43725101.710000001</v>
      </c>
      <c r="H316" s="4">
        <f t="shared" si="330"/>
        <v>-56732101.710000001</v>
      </c>
      <c r="I316" s="4">
        <f t="shared" si="330"/>
        <v>0</v>
      </c>
      <c r="J316" s="4">
        <f t="shared" si="330"/>
        <v>0</v>
      </c>
      <c r="K316" s="4">
        <f t="shared" si="330"/>
        <v>0</v>
      </c>
      <c r="L316" s="4">
        <f t="shared" si="330"/>
        <v>0</v>
      </c>
      <c r="M316" s="4">
        <f t="shared" si="330"/>
        <v>0</v>
      </c>
      <c r="N316" s="4">
        <f t="shared" si="330"/>
        <v>0</v>
      </c>
      <c r="O316" s="4">
        <f t="shared" si="330"/>
        <v>0</v>
      </c>
      <c r="P316" s="4">
        <f t="shared" si="330"/>
        <v>0</v>
      </c>
      <c r="Q316" s="4">
        <f t="shared" si="330"/>
        <v>0</v>
      </c>
      <c r="R316" s="4">
        <f t="shared" si="330"/>
        <v>0</v>
      </c>
      <c r="S316" s="4">
        <f t="shared" si="330"/>
        <v>0</v>
      </c>
      <c r="T316" s="4">
        <f t="shared" si="330"/>
        <v>0</v>
      </c>
      <c r="U316" s="4">
        <f t="shared" si="291"/>
        <v>0</v>
      </c>
      <c r="V316" s="4">
        <f t="shared" si="292"/>
        <v>0</v>
      </c>
      <c r="W316" s="4">
        <f t="shared" si="331"/>
        <v>0</v>
      </c>
      <c r="X316" s="67">
        <f t="shared" si="331"/>
        <v>0</v>
      </c>
      <c r="Y316" s="4">
        <f t="shared" si="331"/>
        <v>0</v>
      </c>
      <c r="Z316" s="4">
        <f t="shared" si="331"/>
        <v>-43725101.710000001</v>
      </c>
      <c r="AA316" s="5">
        <f t="shared" si="301"/>
        <v>0</v>
      </c>
      <c r="AB316" s="4">
        <f t="shared" si="285"/>
        <v>13007000</v>
      </c>
      <c r="AC316" s="4">
        <f t="shared" si="286"/>
        <v>77.072945285037292</v>
      </c>
    </row>
    <row r="317" spans="1:30" s="44" customFormat="1" ht="39.6" x14ac:dyDescent="0.25">
      <c r="A317" s="34" t="s">
        <v>379</v>
      </c>
      <c r="B317" s="7" t="s">
        <v>290</v>
      </c>
      <c r="C317" s="56" t="s">
        <v>358</v>
      </c>
      <c r="D317" s="4">
        <v>-43725101.710000001</v>
      </c>
      <c r="E317" s="4">
        <v>-43725101.710000001</v>
      </c>
      <c r="F317" s="4">
        <v>-43725101.710000001</v>
      </c>
      <c r="G317" s="4">
        <v>-43725101.710000001</v>
      </c>
      <c r="H317" s="4">
        <v>-56732101.710000001</v>
      </c>
      <c r="I317" s="4"/>
      <c r="J317" s="4"/>
      <c r="K317" s="4"/>
      <c r="L317" s="4">
        <f>I317+J317+K317</f>
        <v>0</v>
      </c>
      <c r="M317" s="4"/>
      <c r="N317" s="4"/>
      <c r="O317" s="4"/>
      <c r="P317" s="4">
        <f t="shared" ref="P317" si="332">M317+N317+O317</f>
        <v>0</v>
      </c>
      <c r="Q317" s="4">
        <f t="shared" ref="Q317:Q330" si="333">L317+P317</f>
        <v>0</v>
      </c>
      <c r="R317" s="4"/>
      <c r="S317" s="4"/>
      <c r="T317" s="4"/>
      <c r="U317" s="4">
        <f t="shared" si="291"/>
        <v>0</v>
      </c>
      <c r="V317" s="4">
        <f t="shared" si="292"/>
        <v>0</v>
      </c>
      <c r="W317" s="4"/>
      <c r="X317" s="67"/>
      <c r="Y317" s="4"/>
      <c r="Z317" s="4">
        <v>-43725101.710000001</v>
      </c>
      <c r="AA317" s="5">
        <f t="shared" si="301"/>
        <v>0</v>
      </c>
      <c r="AB317" s="4">
        <f t="shared" si="285"/>
        <v>13007000</v>
      </c>
      <c r="AC317" s="4">
        <f t="shared" si="286"/>
        <v>77.072945285037292</v>
      </c>
    </row>
    <row r="318" spans="1:30" s="44" customFormat="1" ht="26.4" hidden="1" x14ac:dyDescent="0.25">
      <c r="A318" s="57" t="s">
        <v>481</v>
      </c>
      <c r="B318" s="55" t="s">
        <v>5</v>
      </c>
      <c r="C318" s="58" t="s">
        <v>482</v>
      </c>
      <c r="D318" s="4">
        <f t="shared" ref="D318:S320" si="334">+D319</f>
        <v>0</v>
      </c>
      <c r="E318" s="4">
        <f t="shared" si="334"/>
        <v>0</v>
      </c>
      <c r="F318" s="4">
        <f t="shared" si="334"/>
        <v>0</v>
      </c>
      <c r="G318" s="4">
        <f t="shared" si="334"/>
        <v>0</v>
      </c>
      <c r="H318" s="4">
        <f t="shared" si="334"/>
        <v>0</v>
      </c>
      <c r="I318" s="4">
        <f t="shared" si="334"/>
        <v>0</v>
      </c>
      <c r="J318" s="4">
        <f t="shared" si="334"/>
        <v>0</v>
      </c>
      <c r="K318" s="4">
        <f t="shared" si="334"/>
        <v>0</v>
      </c>
      <c r="L318" s="4">
        <f t="shared" si="334"/>
        <v>5000000</v>
      </c>
      <c r="M318" s="4">
        <f t="shared" si="334"/>
        <v>0</v>
      </c>
      <c r="N318" s="4">
        <f t="shared" si="334"/>
        <v>0</v>
      </c>
      <c r="O318" s="4">
        <f t="shared" si="334"/>
        <v>0</v>
      </c>
      <c r="P318" s="4">
        <f t="shared" si="334"/>
        <v>0</v>
      </c>
      <c r="Q318" s="4">
        <f t="shared" si="334"/>
        <v>5000000</v>
      </c>
      <c r="R318" s="4">
        <f t="shared" si="334"/>
        <v>0</v>
      </c>
      <c r="S318" s="4">
        <f t="shared" si="334"/>
        <v>0</v>
      </c>
      <c r="T318" s="4">
        <f t="shared" ref="T318:Z320" si="335">+T319</f>
        <v>0</v>
      </c>
      <c r="U318" s="4">
        <f t="shared" si="291"/>
        <v>0</v>
      </c>
      <c r="V318" s="4">
        <f t="shared" si="292"/>
        <v>5000000</v>
      </c>
      <c r="W318" s="4">
        <f t="shared" si="335"/>
        <v>0</v>
      </c>
      <c r="X318" s="67">
        <f t="shared" si="335"/>
        <v>0</v>
      </c>
      <c r="Y318" s="4">
        <f t="shared" si="335"/>
        <v>0</v>
      </c>
      <c r="Z318" s="4">
        <f t="shared" si="335"/>
        <v>0</v>
      </c>
      <c r="AA318" s="5"/>
      <c r="AB318" s="4">
        <f t="shared" si="285"/>
        <v>0</v>
      </c>
      <c r="AC318" s="4" t="e">
        <f t="shared" si="286"/>
        <v>#DIV/0!</v>
      </c>
    </row>
    <row r="319" spans="1:30" s="44" customFormat="1" ht="26.4" hidden="1" x14ac:dyDescent="0.25">
      <c r="A319" s="8" t="s">
        <v>483</v>
      </c>
      <c r="B319" s="55" t="s">
        <v>5</v>
      </c>
      <c r="C319" s="58" t="s">
        <v>484</v>
      </c>
      <c r="D319" s="4">
        <f t="shared" si="334"/>
        <v>0</v>
      </c>
      <c r="E319" s="4">
        <f t="shared" si="334"/>
        <v>0</v>
      </c>
      <c r="F319" s="4">
        <f t="shared" si="334"/>
        <v>0</v>
      </c>
      <c r="G319" s="4">
        <f t="shared" si="334"/>
        <v>0</v>
      </c>
      <c r="H319" s="4">
        <f t="shared" si="334"/>
        <v>0</v>
      </c>
      <c r="I319" s="4">
        <f t="shared" si="334"/>
        <v>0</v>
      </c>
      <c r="J319" s="4">
        <f t="shared" si="334"/>
        <v>0</v>
      </c>
      <c r="K319" s="4">
        <f t="shared" si="334"/>
        <v>0</v>
      </c>
      <c r="L319" s="4">
        <f t="shared" si="334"/>
        <v>5000000</v>
      </c>
      <c r="M319" s="4">
        <f t="shared" si="334"/>
        <v>0</v>
      </c>
      <c r="N319" s="4">
        <f t="shared" si="334"/>
        <v>0</v>
      </c>
      <c r="O319" s="4">
        <f t="shared" si="334"/>
        <v>0</v>
      </c>
      <c r="P319" s="4">
        <f t="shared" si="334"/>
        <v>0</v>
      </c>
      <c r="Q319" s="4">
        <f t="shared" si="334"/>
        <v>5000000</v>
      </c>
      <c r="R319" s="4">
        <f t="shared" si="334"/>
        <v>0</v>
      </c>
      <c r="S319" s="4">
        <f t="shared" si="334"/>
        <v>0</v>
      </c>
      <c r="T319" s="4">
        <f t="shared" si="335"/>
        <v>0</v>
      </c>
      <c r="U319" s="4">
        <f t="shared" si="291"/>
        <v>0</v>
      </c>
      <c r="V319" s="4">
        <f t="shared" si="292"/>
        <v>5000000</v>
      </c>
      <c r="W319" s="4">
        <f t="shared" si="335"/>
        <v>0</v>
      </c>
      <c r="X319" s="67">
        <f t="shared" si="335"/>
        <v>0</v>
      </c>
      <c r="Y319" s="4">
        <f t="shared" si="335"/>
        <v>0</v>
      </c>
      <c r="Z319" s="4">
        <f t="shared" si="335"/>
        <v>0</v>
      </c>
      <c r="AA319" s="5"/>
      <c r="AB319" s="4">
        <f t="shared" si="285"/>
        <v>0</v>
      </c>
      <c r="AC319" s="4" t="e">
        <f t="shared" si="286"/>
        <v>#DIV/0!</v>
      </c>
    </row>
    <row r="320" spans="1:30" s="44" customFormat="1" ht="66" hidden="1" x14ac:dyDescent="0.25">
      <c r="A320" s="8" t="s">
        <v>485</v>
      </c>
      <c r="B320" s="55" t="s">
        <v>5</v>
      </c>
      <c r="C320" s="58" t="s">
        <v>486</v>
      </c>
      <c r="D320" s="4">
        <f t="shared" si="334"/>
        <v>0</v>
      </c>
      <c r="E320" s="4">
        <f t="shared" si="334"/>
        <v>0</v>
      </c>
      <c r="F320" s="4">
        <f t="shared" si="334"/>
        <v>0</v>
      </c>
      <c r="G320" s="4">
        <f t="shared" si="334"/>
        <v>0</v>
      </c>
      <c r="H320" s="4">
        <f t="shared" si="334"/>
        <v>0</v>
      </c>
      <c r="I320" s="4">
        <f t="shared" si="334"/>
        <v>0</v>
      </c>
      <c r="J320" s="4">
        <f t="shared" si="334"/>
        <v>0</v>
      </c>
      <c r="K320" s="4">
        <f t="shared" si="334"/>
        <v>0</v>
      </c>
      <c r="L320" s="4">
        <f t="shared" si="334"/>
        <v>5000000</v>
      </c>
      <c r="M320" s="4">
        <f t="shared" si="334"/>
        <v>0</v>
      </c>
      <c r="N320" s="4">
        <f t="shared" si="334"/>
        <v>0</v>
      </c>
      <c r="O320" s="4">
        <f t="shared" si="334"/>
        <v>0</v>
      </c>
      <c r="P320" s="4">
        <f t="shared" si="334"/>
        <v>0</v>
      </c>
      <c r="Q320" s="4">
        <f t="shared" si="334"/>
        <v>5000000</v>
      </c>
      <c r="R320" s="4">
        <f t="shared" si="334"/>
        <v>0</v>
      </c>
      <c r="S320" s="4">
        <f t="shared" si="334"/>
        <v>0</v>
      </c>
      <c r="T320" s="4">
        <f t="shared" si="335"/>
        <v>0</v>
      </c>
      <c r="U320" s="4">
        <f t="shared" si="291"/>
        <v>0</v>
      </c>
      <c r="V320" s="4">
        <f t="shared" si="292"/>
        <v>5000000</v>
      </c>
      <c r="W320" s="4">
        <f t="shared" si="335"/>
        <v>0</v>
      </c>
      <c r="X320" s="67">
        <f t="shared" si="335"/>
        <v>0</v>
      </c>
      <c r="Y320" s="4">
        <f t="shared" si="335"/>
        <v>0</v>
      </c>
      <c r="Z320" s="4">
        <f t="shared" si="335"/>
        <v>0</v>
      </c>
      <c r="AA320" s="5"/>
      <c r="AB320" s="4">
        <f t="shared" si="285"/>
        <v>0</v>
      </c>
      <c r="AC320" s="4" t="e">
        <f t="shared" si="286"/>
        <v>#DIV/0!</v>
      </c>
    </row>
    <row r="321" spans="1:29" s="44" customFormat="1" ht="132" hidden="1" x14ac:dyDescent="0.25">
      <c r="A321" s="8" t="s">
        <v>488</v>
      </c>
      <c r="B321" s="55" t="s">
        <v>290</v>
      </c>
      <c r="C321" s="58" t="s">
        <v>487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5">
        <v>0</v>
      </c>
      <c r="K321" s="4"/>
      <c r="L321" s="4">
        <v>5000000</v>
      </c>
      <c r="M321" s="4"/>
      <c r="N321" s="5">
        <v>0</v>
      </c>
      <c r="O321" s="4"/>
      <c r="P321" s="4">
        <v>0</v>
      </c>
      <c r="Q321" s="4">
        <f t="shared" si="333"/>
        <v>5000000</v>
      </c>
      <c r="R321" s="4"/>
      <c r="S321" s="4"/>
      <c r="T321" s="4"/>
      <c r="U321" s="4">
        <f t="shared" si="291"/>
        <v>0</v>
      </c>
      <c r="V321" s="4">
        <f t="shared" si="292"/>
        <v>5000000</v>
      </c>
      <c r="W321" s="4"/>
      <c r="X321" s="67"/>
      <c r="Y321" s="4"/>
      <c r="Z321" s="4">
        <v>0</v>
      </c>
      <c r="AA321" s="5"/>
      <c r="AB321" s="4">
        <f t="shared" si="285"/>
        <v>0</v>
      </c>
      <c r="AC321" s="4" t="e">
        <f t="shared" si="286"/>
        <v>#DIV/0!</v>
      </c>
    </row>
    <row r="322" spans="1:29" s="44" customFormat="1" ht="13.2" x14ac:dyDescent="0.25">
      <c r="A322" s="1" t="s">
        <v>359</v>
      </c>
      <c r="B322" s="7" t="s">
        <v>5</v>
      </c>
      <c r="C322" s="3" t="s">
        <v>360</v>
      </c>
      <c r="D322" s="4">
        <f t="shared" ref="D322:T322" si="336">D327+D323</f>
        <v>0</v>
      </c>
      <c r="E322" s="4">
        <f t="shared" si="336"/>
        <v>0</v>
      </c>
      <c r="F322" s="4">
        <f t="shared" si="336"/>
        <v>0</v>
      </c>
      <c r="G322" s="4">
        <f t="shared" si="336"/>
        <v>0</v>
      </c>
      <c r="H322" s="4">
        <f t="shared" si="336"/>
        <v>13961135.409999847</v>
      </c>
      <c r="I322" s="4">
        <f t="shared" si="336"/>
        <v>0</v>
      </c>
      <c r="J322" s="4">
        <f t="shared" si="336"/>
        <v>0</v>
      </c>
      <c r="K322" s="4">
        <f t="shared" si="336"/>
        <v>0</v>
      </c>
      <c r="L322" s="4">
        <f t="shared" si="336"/>
        <v>-18898532.440000057</v>
      </c>
      <c r="M322" s="4">
        <f t="shared" si="336"/>
        <v>0</v>
      </c>
      <c r="N322" s="4">
        <f t="shared" si="336"/>
        <v>0</v>
      </c>
      <c r="O322" s="4">
        <f t="shared" si="336"/>
        <v>0</v>
      </c>
      <c r="P322" s="4">
        <f t="shared" si="336"/>
        <v>0</v>
      </c>
      <c r="Q322" s="4">
        <f t="shared" si="336"/>
        <v>-18898532.440000057</v>
      </c>
      <c r="R322" s="4">
        <f t="shared" si="336"/>
        <v>0</v>
      </c>
      <c r="S322" s="4">
        <f t="shared" si="336"/>
        <v>0</v>
      </c>
      <c r="T322" s="4">
        <f t="shared" si="336"/>
        <v>0</v>
      </c>
      <c r="U322" s="4">
        <f t="shared" si="291"/>
        <v>0</v>
      </c>
      <c r="V322" s="4">
        <f t="shared" si="292"/>
        <v>-18898532.440000057</v>
      </c>
      <c r="W322" s="4">
        <f t="shared" ref="W322:Y322" si="337">W327+W323</f>
        <v>0</v>
      </c>
      <c r="X322" s="67">
        <f t="shared" si="337"/>
        <v>0</v>
      </c>
      <c r="Y322" s="4">
        <f t="shared" si="337"/>
        <v>0</v>
      </c>
      <c r="Z322" s="4">
        <v>6752134.9800000004</v>
      </c>
      <c r="AA322" s="5">
        <f t="shared" si="301"/>
        <v>-135.3652971982761</v>
      </c>
      <c r="AB322" s="4">
        <f t="shared" si="285"/>
        <v>-7209000.429999847</v>
      </c>
      <c r="AC322" s="4">
        <f t="shared" si="286"/>
        <v>48.363795505942122</v>
      </c>
    </row>
    <row r="323" spans="1:29" s="44" customFormat="1" ht="13.2" x14ac:dyDescent="0.25">
      <c r="A323" s="1" t="s">
        <v>361</v>
      </c>
      <c r="B323" s="7" t="s">
        <v>5</v>
      </c>
      <c r="C323" s="3" t="s">
        <v>362</v>
      </c>
      <c r="D323" s="4">
        <f t="shared" ref="D323:Z323" si="338">D324</f>
        <v>-2896642833.5300002</v>
      </c>
      <c r="E323" s="4">
        <f t="shared" si="338"/>
        <v>-2896642833.5300002</v>
      </c>
      <c r="F323" s="4">
        <f t="shared" si="338"/>
        <v>-2896642833.5300002</v>
      </c>
      <c r="G323" s="4">
        <f t="shared" si="338"/>
        <v>-2896642833.5300002</v>
      </c>
      <c r="H323" s="59">
        <f t="shared" si="338"/>
        <v>-3595754223.21</v>
      </c>
      <c r="I323" s="59">
        <f t="shared" si="338"/>
        <v>0</v>
      </c>
      <c r="J323" s="59">
        <f t="shared" si="338"/>
        <v>0</v>
      </c>
      <c r="K323" s="59">
        <f t="shared" si="338"/>
        <v>0</v>
      </c>
      <c r="L323" s="59">
        <f t="shared" si="338"/>
        <v>-872843677.20000005</v>
      </c>
      <c r="M323" s="59">
        <f t="shared" si="338"/>
        <v>0</v>
      </c>
      <c r="N323" s="59">
        <f t="shared" si="338"/>
        <v>0</v>
      </c>
      <c r="O323" s="59">
        <f t="shared" si="338"/>
        <v>0</v>
      </c>
      <c r="P323" s="59">
        <f t="shared" si="338"/>
        <v>0</v>
      </c>
      <c r="Q323" s="59">
        <f t="shared" si="338"/>
        <v>-872843677.20000005</v>
      </c>
      <c r="R323" s="59">
        <f t="shared" si="338"/>
        <v>0</v>
      </c>
      <c r="S323" s="59">
        <f t="shared" si="338"/>
        <v>0</v>
      </c>
      <c r="T323" s="59">
        <f t="shared" si="338"/>
        <v>0</v>
      </c>
      <c r="U323" s="4">
        <f t="shared" si="291"/>
        <v>0</v>
      </c>
      <c r="V323" s="4">
        <f t="shared" si="292"/>
        <v>-872843677.20000005</v>
      </c>
      <c r="W323" s="59">
        <f t="shared" si="338"/>
        <v>0</v>
      </c>
      <c r="X323" s="77">
        <f t="shared" si="338"/>
        <v>0</v>
      </c>
      <c r="Y323" s="59">
        <f t="shared" si="338"/>
        <v>0</v>
      </c>
      <c r="Z323" s="59">
        <f t="shared" si="338"/>
        <v>-3514830472.5</v>
      </c>
      <c r="AA323" s="5">
        <f t="shared" si="301"/>
        <v>24.274286367125377</v>
      </c>
      <c r="AB323" s="4">
        <f t="shared" si="285"/>
        <v>80923750.710000038</v>
      </c>
      <c r="AC323" s="4">
        <f t="shared" si="286"/>
        <v>97.749463792946401</v>
      </c>
    </row>
    <row r="324" spans="1:29" s="44" customFormat="1" ht="13.2" x14ac:dyDescent="0.25">
      <c r="A324" s="1" t="s">
        <v>363</v>
      </c>
      <c r="B324" s="7" t="s">
        <v>5</v>
      </c>
      <c r="C324" s="3" t="s">
        <v>364</v>
      </c>
      <c r="D324" s="4">
        <f t="shared" ref="D324:Z324" si="339">+D325</f>
        <v>-2896642833.5300002</v>
      </c>
      <c r="E324" s="4">
        <f t="shared" si="339"/>
        <v>-2896642833.5300002</v>
      </c>
      <c r="F324" s="4">
        <f t="shared" si="339"/>
        <v>-2896642833.5300002</v>
      </c>
      <c r="G324" s="4">
        <f t="shared" si="339"/>
        <v>-2896642833.5300002</v>
      </c>
      <c r="H324" s="59">
        <f t="shared" si="339"/>
        <v>-3595754223.21</v>
      </c>
      <c r="I324" s="59">
        <f t="shared" si="339"/>
        <v>0</v>
      </c>
      <c r="J324" s="59">
        <f t="shared" si="339"/>
        <v>0</v>
      </c>
      <c r="K324" s="59">
        <f t="shared" si="339"/>
        <v>0</v>
      </c>
      <c r="L324" s="59">
        <f t="shared" si="339"/>
        <v>-872843677.20000005</v>
      </c>
      <c r="M324" s="59">
        <f t="shared" si="339"/>
        <v>0</v>
      </c>
      <c r="N324" s="59">
        <f t="shared" si="339"/>
        <v>0</v>
      </c>
      <c r="O324" s="59">
        <f t="shared" si="339"/>
        <v>0</v>
      </c>
      <c r="P324" s="59">
        <f t="shared" si="339"/>
        <v>0</v>
      </c>
      <c r="Q324" s="59">
        <f t="shared" si="339"/>
        <v>-872843677.20000005</v>
      </c>
      <c r="R324" s="59">
        <f t="shared" si="339"/>
        <v>0</v>
      </c>
      <c r="S324" s="59">
        <f t="shared" si="339"/>
        <v>0</v>
      </c>
      <c r="T324" s="59">
        <f t="shared" si="339"/>
        <v>0</v>
      </c>
      <c r="U324" s="4">
        <f t="shared" si="291"/>
        <v>0</v>
      </c>
      <c r="V324" s="4">
        <f t="shared" si="292"/>
        <v>-872843677.20000005</v>
      </c>
      <c r="W324" s="59">
        <f t="shared" si="339"/>
        <v>0</v>
      </c>
      <c r="X324" s="77">
        <f t="shared" si="339"/>
        <v>0</v>
      </c>
      <c r="Y324" s="59">
        <f t="shared" si="339"/>
        <v>0</v>
      </c>
      <c r="Z324" s="59">
        <f t="shared" si="339"/>
        <v>-3514830472.5</v>
      </c>
      <c r="AA324" s="5">
        <f t="shared" si="301"/>
        <v>24.274286367125377</v>
      </c>
      <c r="AB324" s="4">
        <f t="shared" si="285"/>
        <v>80923750.710000038</v>
      </c>
      <c r="AC324" s="4">
        <f t="shared" si="286"/>
        <v>97.749463792946401</v>
      </c>
    </row>
    <row r="325" spans="1:29" s="44" customFormat="1" ht="13.2" x14ac:dyDescent="0.25">
      <c r="A325" s="1" t="s">
        <v>365</v>
      </c>
      <c r="B325" s="7" t="s">
        <v>5</v>
      </c>
      <c r="C325" s="3" t="s">
        <v>366</v>
      </c>
      <c r="D325" s="4">
        <f t="shared" ref="D325:Z325" si="340">D326</f>
        <v>-2896642833.5300002</v>
      </c>
      <c r="E325" s="4">
        <f t="shared" si="340"/>
        <v>-2896642833.5300002</v>
      </c>
      <c r="F325" s="4">
        <f t="shared" si="340"/>
        <v>-2896642833.5300002</v>
      </c>
      <c r="G325" s="4">
        <f t="shared" si="340"/>
        <v>-2896642833.5300002</v>
      </c>
      <c r="H325" s="59">
        <f t="shared" si="340"/>
        <v>-3595754223.21</v>
      </c>
      <c r="I325" s="59">
        <f t="shared" si="340"/>
        <v>0</v>
      </c>
      <c r="J325" s="59">
        <f t="shared" si="340"/>
        <v>0</v>
      </c>
      <c r="K325" s="59">
        <f t="shared" si="340"/>
        <v>0</v>
      </c>
      <c r="L325" s="59">
        <f t="shared" si="340"/>
        <v>-872843677.20000005</v>
      </c>
      <c r="M325" s="59">
        <f t="shared" si="340"/>
        <v>0</v>
      </c>
      <c r="N325" s="59">
        <f t="shared" si="340"/>
        <v>0</v>
      </c>
      <c r="O325" s="59">
        <f t="shared" si="340"/>
        <v>0</v>
      </c>
      <c r="P325" s="59">
        <f t="shared" si="340"/>
        <v>0</v>
      </c>
      <c r="Q325" s="59">
        <f t="shared" si="340"/>
        <v>-872843677.20000005</v>
      </c>
      <c r="R325" s="59">
        <f t="shared" si="340"/>
        <v>0</v>
      </c>
      <c r="S325" s="59">
        <f t="shared" si="340"/>
        <v>0</v>
      </c>
      <c r="T325" s="59">
        <f t="shared" si="340"/>
        <v>0</v>
      </c>
      <c r="U325" s="4">
        <f t="shared" si="291"/>
        <v>0</v>
      </c>
      <c r="V325" s="4">
        <f t="shared" si="292"/>
        <v>-872843677.20000005</v>
      </c>
      <c r="W325" s="59">
        <f t="shared" si="340"/>
        <v>0</v>
      </c>
      <c r="X325" s="77">
        <f t="shared" si="340"/>
        <v>0</v>
      </c>
      <c r="Y325" s="59">
        <f t="shared" si="340"/>
        <v>0</v>
      </c>
      <c r="Z325" s="59">
        <f t="shared" si="340"/>
        <v>-3514830472.5</v>
      </c>
      <c r="AA325" s="5">
        <f t="shared" si="301"/>
        <v>24.274286367125377</v>
      </c>
      <c r="AB325" s="4">
        <f t="shared" si="285"/>
        <v>80923750.710000038</v>
      </c>
      <c r="AC325" s="4">
        <f t="shared" si="286"/>
        <v>97.749463792946401</v>
      </c>
    </row>
    <row r="326" spans="1:29" s="44" customFormat="1" ht="26.4" x14ac:dyDescent="0.25">
      <c r="A326" s="1" t="s">
        <v>367</v>
      </c>
      <c r="B326" s="7" t="s">
        <v>5</v>
      </c>
      <c r="C326" s="3" t="s">
        <v>368</v>
      </c>
      <c r="D326" s="4">
        <v>-2896642833.5300002</v>
      </c>
      <c r="E326" s="4">
        <v>-2896642833.5300002</v>
      </c>
      <c r="F326" s="4">
        <v>-2896642833.5300002</v>
      </c>
      <c r="G326" s="4">
        <v>-2896642833.5300002</v>
      </c>
      <c r="H326" s="59">
        <v>-3595754223.21</v>
      </c>
      <c r="I326" s="59"/>
      <c r="J326" s="59"/>
      <c r="K326" s="59"/>
      <c r="L326" s="59">
        <v>-872843677.20000005</v>
      </c>
      <c r="M326" s="59"/>
      <c r="N326" s="59"/>
      <c r="O326" s="59"/>
      <c r="P326" s="59"/>
      <c r="Q326" s="59">
        <f t="shared" si="333"/>
        <v>-872843677.20000005</v>
      </c>
      <c r="R326" s="59"/>
      <c r="S326" s="59"/>
      <c r="T326" s="59"/>
      <c r="U326" s="4">
        <f t="shared" si="291"/>
        <v>0</v>
      </c>
      <c r="V326" s="4">
        <f t="shared" si="292"/>
        <v>-872843677.20000005</v>
      </c>
      <c r="W326" s="59"/>
      <c r="X326" s="77"/>
      <c r="Y326" s="59"/>
      <c r="Z326" s="59">
        <v>-3514830472.5</v>
      </c>
      <c r="AA326" s="5">
        <f t="shared" si="301"/>
        <v>24.274286367125377</v>
      </c>
      <c r="AB326" s="4">
        <f t="shared" si="285"/>
        <v>80923750.710000038</v>
      </c>
      <c r="AC326" s="4">
        <f t="shared" si="286"/>
        <v>97.749463792946401</v>
      </c>
    </row>
    <row r="327" spans="1:29" s="44" customFormat="1" ht="13.2" x14ac:dyDescent="0.25">
      <c r="A327" s="1" t="s">
        <v>369</v>
      </c>
      <c r="B327" s="7" t="s">
        <v>5</v>
      </c>
      <c r="C327" s="3" t="s">
        <v>370</v>
      </c>
      <c r="D327" s="4">
        <f t="shared" ref="D327:T329" si="341">D328</f>
        <v>2896642833.5300002</v>
      </c>
      <c r="E327" s="4">
        <f t="shared" si="341"/>
        <v>2896642833.5300002</v>
      </c>
      <c r="F327" s="4">
        <f t="shared" si="341"/>
        <v>2896642833.5300002</v>
      </c>
      <c r="G327" s="4">
        <f t="shared" si="341"/>
        <v>2896642833.5300002</v>
      </c>
      <c r="H327" s="59">
        <f t="shared" si="341"/>
        <v>3609715358.6199999</v>
      </c>
      <c r="I327" s="59">
        <f t="shared" si="341"/>
        <v>0</v>
      </c>
      <c r="J327" s="59">
        <f t="shared" si="341"/>
        <v>0</v>
      </c>
      <c r="K327" s="59">
        <f t="shared" si="341"/>
        <v>0</v>
      </c>
      <c r="L327" s="59">
        <f t="shared" si="341"/>
        <v>853945144.75999999</v>
      </c>
      <c r="M327" s="59">
        <f t="shared" si="341"/>
        <v>0</v>
      </c>
      <c r="N327" s="59">
        <f t="shared" si="341"/>
        <v>0</v>
      </c>
      <c r="O327" s="59">
        <f t="shared" si="341"/>
        <v>0</v>
      </c>
      <c r="P327" s="59">
        <f t="shared" si="341"/>
        <v>0</v>
      </c>
      <c r="Q327" s="59">
        <f t="shared" si="341"/>
        <v>853945144.75999999</v>
      </c>
      <c r="R327" s="59">
        <f t="shared" si="341"/>
        <v>0</v>
      </c>
      <c r="S327" s="59">
        <f t="shared" si="341"/>
        <v>0</v>
      </c>
      <c r="T327" s="59">
        <f t="shared" si="341"/>
        <v>0</v>
      </c>
      <c r="U327" s="4">
        <f t="shared" si="291"/>
        <v>0</v>
      </c>
      <c r="V327" s="4">
        <f t="shared" si="292"/>
        <v>853945144.75999999</v>
      </c>
      <c r="W327" s="59">
        <f t="shared" ref="W327:Z329" si="342">W328</f>
        <v>0</v>
      </c>
      <c r="X327" s="77">
        <f t="shared" si="342"/>
        <v>0</v>
      </c>
      <c r="Y327" s="59">
        <f t="shared" si="342"/>
        <v>0</v>
      </c>
      <c r="Z327" s="59">
        <f t="shared" si="342"/>
        <v>3521582607.48</v>
      </c>
      <c r="AA327" s="5">
        <f t="shared" si="301"/>
        <v>23.656855455951092</v>
      </c>
      <c r="AB327" s="4">
        <f t="shared" si="285"/>
        <v>-88132751.139999866</v>
      </c>
      <c r="AC327" s="4">
        <f t="shared" si="286"/>
        <v>97.558457042061804</v>
      </c>
    </row>
    <row r="328" spans="1:29" s="44" customFormat="1" ht="13.2" x14ac:dyDescent="0.25">
      <c r="A328" s="1" t="s">
        <v>371</v>
      </c>
      <c r="B328" s="7" t="s">
        <v>5</v>
      </c>
      <c r="C328" s="3" t="s">
        <v>372</v>
      </c>
      <c r="D328" s="4">
        <f t="shared" si="341"/>
        <v>2896642833.5300002</v>
      </c>
      <c r="E328" s="4">
        <f t="shared" si="341"/>
        <v>2896642833.5300002</v>
      </c>
      <c r="F328" s="4">
        <f t="shared" si="341"/>
        <v>2896642833.5300002</v>
      </c>
      <c r="G328" s="4">
        <f t="shared" si="341"/>
        <v>2896642833.5300002</v>
      </c>
      <c r="H328" s="59">
        <f t="shared" si="341"/>
        <v>3609715358.6199999</v>
      </c>
      <c r="I328" s="59">
        <f t="shared" si="341"/>
        <v>0</v>
      </c>
      <c r="J328" s="59">
        <f t="shared" si="341"/>
        <v>0</v>
      </c>
      <c r="K328" s="59">
        <f t="shared" si="341"/>
        <v>0</v>
      </c>
      <c r="L328" s="59">
        <f t="shared" si="341"/>
        <v>853945144.75999999</v>
      </c>
      <c r="M328" s="59">
        <f t="shared" si="341"/>
        <v>0</v>
      </c>
      <c r="N328" s="59">
        <f t="shared" si="341"/>
        <v>0</v>
      </c>
      <c r="O328" s="59">
        <f t="shared" si="341"/>
        <v>0</v>
      </c>
      <c r="P328" s="59">
        <f t="shared" si="341"/>
        <v>0</v>
      </c>
      <c r="Q328" s="59">
        <f t="shared" si="341"/>
        <v>853945144.75999999</v>
      </c>
      <c r="R328" s="59">
        <f t="shared" si="341"/>
        <v>0</v>
      </c>
      <c r="S328" s="59">
        <f t="shared" si="341"/>
        <v>0</v>
      </c>
      <c r="T328" s="59">
        <f t="shared" si="341"/>
        <v>0</v>
      </c>
      <c r="U328" s="4">
        <f t="shared" si="291"/>
        <v>0</v>
      </c>
      <c r="V328" s="4">
        <f t="shared" si="292"/>
        <v>853945144.75999999</v>
      </c>
      <c r="W328" s="59">
        <f t="shared" si="342"/>
        <v>0</v>
      </c>
      <c r="X328" s="77">
        <f t="shared" si="342"/>
        <v>0</v>
      </c>
      <c r="Y328" s="59">
        <f t="shared" si="342"/>
        <v>0</v>
      </c>
      <c r="Z328" s="59">
        <f t="shared" si="342"/>
        <v>3521582607.48</v>
      </c>
      <c r="AA328" s="5">
        <f t="shared" si="301"/>
        <v>23.656855455951092</v>
      </c>
      <c r="AB328" s="4">
        <f t="shared" si="285"/>
        <v>-88132751.139999866</v>
      </c>
      <c r="AC328" s="4">
        <f t="shared" si="286"/>
        <v>97.558457042061804</v>
      </c>
    </row>
    <row r="329" spans="1:29" s="44" customFormat="1" ht="16.8" customHeight="1" x14ac:dyDescent="0.25">
      <c r="A329" s="1" t="s">
        <v>373</v>
      </c>
      <c r="B329" s="7" t="s">
        <v>5</v>
      </c>
      <c r="C329" s="3" t="s">
        <v>374</v>
      </c>
      <c r="D329" s="4">
        <f t="shared" si="341"/>
        <v>2896642833.5300002</v>
      </c>
      <c r="E329" s="4">
        <f t="shared" si="341"/>
        <v>2896642833.5300002</v>
      </c>
      <c r="F329" s="4">
        <f t="shared" si="341"/>
        <v>2896642833.5300002</v>
      </c>
      <c r="G329" s="4">
        <f t="shared" si="341"/>
        <v>2896642833.5300002</v>
      </c>
      <c r="H329" s="59">
        <f t="shared" si="341"/>
        <v>3609715358.6199999</v>
      </c>
      <c r="I329" s="59">
        <f t="shared" si="341"/>
        <v>0</v>
      </c>
      <c r="J329" s="59">
        <f t="shared" si="341"/>
        <v>0</v>
      </c>
      <c r="K329" s="59">
        <f t="shared" si="341"/>
        <v>0</v>
      </c>
      <c r="L329" s="59">
        <f t="shared" si="341"/>
        <v>853945144.75999999</v>
      </c>
      <c r="M329" s="59">
        <f t="shared" si="341"/>
        <v>0</v>
      </c>
      <c r="N329" s="59">
        <f t="shared" si="341"/>
        <v>0</v>
      </c>
      <c r="O329" s="59">
        <f t="shared" si="341"/>
        <v>0</v>
      </c>
      <c r="P329" s="59">
        <f t="shared" si="341"/>
        <v>0</v>
      </c>
      <c r="Q329" s="59">
        <f t="shared" si="341"/>
        <v>853945144.75999999</v>
      </c>
      <c r="R329" s="59">
        <f t="shared" si="341"/>
        <v>0</v>
      </c>
      <c r="S329" s="59">
        <f t="shared" si="341"/>
        <v>0</v>
      </c>
      <c r="T329" s="59">
        <f t="shared" si="341"/>
        <v>0</v>
      </c>
      <c r="U329" s="4">
        <f t="shared" si="291"/>
        <v>0</v>
      </c>
      <c r="V329" s="4">
        <f t="shared" si="292"/>
        <v>853945144.75999999</v>
      </c>
      <c r="W329" s="59">
        <f t="shared" si="342"/>
        <v>0</v>
      </c>
      <c r="X329" s="77">
        <f t="shared" si="342"/>
        <v>0</v>
      </c>
      <c r="Y329" s="59">
        <f t="shared" si="342"/>
        <v>0</v>
      </c>
      <c r="Z329" s="59">
        <f t="shared" si="342"/>
        <v>3521582607.48</v>
      </c>
      <c r="AA329" s="5">
        <f t="shared" si="301"/>
        <v>23.656855455951092</v>
      </c>
      <c r="AB329" s="4">
        <f t="shared" si="285"/>
        <v>-88132751.139999866</v>
      </c>
      <c r="AC329" s="4">
        <f t="shared" si="286"/>
        <v>97.558457042061804</v>
      </c>
    </row>
    <row r="330" spans="1:29" s="44" customFormat="1" ht="30" customHeight="1" x14ac:dyDescent="0.25">
      <c r="A330" s="1" t="s">
        <v>375</v>
      </c>
      <c r="B330" s="7" t="s">
        <v>5</v>
      </c>
      <c r="C330" s="3" t="s">
        <v>376</v>
      </c>
      <c r="D330" s="4">
        <v>2896642833.5300002</v>
      </c>
      <c r="E330" s="4">
        <v>2896642833.5300002</v>
      </c>
      <c r="F330" s="4">
        <v>2896642833.5300002</v>
      </c>
      <c r="G330" s="4">
        <v>2896642833.5300002</v>
      </c>
      <c r="H330" s="59">
        <v>3609715358.6199999</v>
      </c>
      <c r="I330" s="59"/>
      <c r="J330" s="59"/>
      <c r="K330" s="59"/>
      <c r="L330" s="59">
        <v>853945144.75999999</v>
      </c>
      <c r="M330" s="59"/>
      <c r="N330" s="59"/>
      <c r="O330" s="59"/>
      <c r="P330" s="59"/>
      <c r="Q330" s="59">
        <f t="shared" si="333"/>
        <v>853945144.75999999</v>
      </c>
      <c r="R330" s="59"/>
      <c r="S330" s="59"/>
      <c r="T330" s="59"/>
      <c r="U330" s="4">
        <f t="shared" si="291"/>
        <v>0</v>
      </c>
      <c r="V330" s="4">
        <f t="shared" si="292"/>
        <v>853945144.75999999</v>
      </c>
      <c r="W330" s="59"/>
      <c r="X330" s="77"/>
      <c r="Y330" s="59"/>
      <c r="Z330" s="59">
        <v>3521582607.48</v>
      </c>
      <c r="AA330" s="5">
        <f t="shared" si="301"/>
        <v>23.656855455951092</v>
      </c>
      <c r="AB330" s="4">
        <f t="shared" si="285"/>
        <v>-88132751.139999866</v>
      </c>
      <c r="AC330" s="4">
        <f t="shared" si="286"/>
        <v>97.558457042061804</v>
      </c>
    </row>
    <row r="331" spans="1:29" x14ac:dyDescent="0.25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78"/>
      <c r="Y331" s="60"/>
      <c r="Z331" s="60"/>
      <c r="AA331" s="60"/>
      <c r="AB331" s="60"/>
      <c r="AC331" s="60"/>
    </row>
    <row r="332" spans="1:29" x14ac:dyDescent="0.25">
      <c r="A332" s="60"/>
      <c r="B332" s="60"/>
      <c r="C332" s="60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79"/>
      <c r="Y332" s="61"/>
      <c r="Z332" s="61"/>
      <c r="AA332" s="61"/>
      <c r="AB332" s="61"/>
      <c r="AC332" s="61"/>
    </row>
    <row r="333" spans="1:29" ht="18" x14ac:dyDescent="0.35">
      <c r="A333" s="62"/>
      <c r="B333" s="60"/>
      <c r="C333" s="60"/>
      <c r="D333" s="60"/>
      <c r="E333" s="60"/>
      <c r="F333" s="60"/>
      <c r="G333" s="60"/>
      <c r="H333" s="60"/>
      <c r="I333" s="114"/>
      <c r="J333" s="114"/>
      <c r="M333" s="114"/>
      <c r="N333" s="114"/>
    </row>
    <row r="334" spans="1:29" s="63" customFormat="1" ht="26.4" customHeight="1" x14ac:dyDescent="0.3">
      <c r="A334" s="95" t="s">
        <v>602</v>
      </c>
      <c r="V334" s="63" t="s">
        <v>563</v>
      </c>
      <c r="X334" s="80"/>
      <c r="AB334" s="105" t="s">
        <v>603</v>
      </c>
      <c r="AC334" s="105"/>
    </row>
  </sheetData>
  <mergeCells count="37">
    <mergeCell ref="I333:J333"/>
    <mergeCell ref="M333:N333"/>
    <mergeCell ref="Y9:Y10"/>
    <mergeCell ref="Z9:Z10"/>
    <mergeCell ref="AA9:AA10"/>
    <mergeCell ref="Q9:Q10"/>
    <mergeCell ref="R9:R10"/>
    <mergeCell ref="S9:S10"/>
    <mergeCell ref="W9:W10"/>
    <mergeCell ref="X9:X10"/>
    <mergeCell ref="J9:J10"/>
    <mergeCell ref="T9:T10"/>
    <mergeCell ref="U9:U10"/>
    <mergeCell ref="V9:V10"/>
    <mergeCell ref="K9:K10"/>
    <mergeCell ref="L9:L10"/>
    <mergeCell ref="M9:M10"/>
    <mergeCell ref="N9:N10"/>
    <mergeCell ref="O9:O10"/>
    <mergeCell ref="P9:P10"/>
    <mergeCell ref="AB9:AB10"/>
    <mergeCell ref="AB334:AC334"/>
    <mergeCell ref="AC9:AC10"/>
    <mergeCell ref="A7:AC7"/>
    <mergeCell ref="AB1:AC1"/>
    <mergeCell ref="AB2:AC2"/>
    <mergeCell ref="AB3:AC3"/>
    <mergeCell ref="AB4:AC4"/>
    <mergeCell ref="AB5:AC5"/>
    <mergeCell ref="A9:A10"/>
    <mergeCell ref="B9:C9"/>
    <mergeCell ref="D9:D10"/>
    <mergeCell ref="E9:E10"/>
    <mergeCell ref="F9:F10"/>
    <mergeCell ref="G9:G10"/>
    <mergeCell ref="H9:H10"/>
    <mergeCell ref="I9:I10"/>
  </mergeCells>
  <pageMargins left="1.1811023622047245" right="0.39370078740157483" top="0.59055118110236227" bottom="0.78740157480314965" header="0.31496062992125984" footer="0.31496062992125984"/>
  <pageSetup paperSize="9" scale="5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01.01.2022</vt:lpstr>
      <vt:lpstr>'на 01.01.2022'!Заголовки_для_печати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2022-04-11T08:24:40Z</dcterms:modified>
</cp:coreProperties>
</file>