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348" windowWidth="14808" windowHeight="7776"/>
  </bookViews>
  <sheets>
    <sheet name="Прил 1 на 2023(март)" sheetId="3" r:id="rId1"/>
  </sheets>
  <definedNames>
    <definedName name="_xlnm._FilterDatabase" localSheetId="0" hidden="1">'Прил 1 на 2023(март)'!$A$8:$F$243</definedName>
    <definedName name="_xlnm.Print_Titles" localSheetId="0">'Прил 1 на 2023(март)'!$5:$7</definedName>
    <definedName name="_xlnm.Print_Area" localSheetId="0">'Прил 1 на 2023(март)'!$A$1:$BM$252</definedName>
  </definedNames>
  <calcPr calcId="152511" iterate="1"/>
</workbook>
</file>

<file path=xl/calcChain.xml><?xml version="1.0" encoding="utf-8"?>
<calcChain xmlns="http://schemas.openxmlformats.org/spreadsheetml/2006/main">
  <c r="D244" i="3" l="1"/>
  <c r="F232" i="3" l="1"/>
  <c r="E232" i="3"/>
  <c r="F233" i="3"/>
  <c r="E233" i="3"/>
  <c r="F234" i="3"/>
  <c r="E234" i="3"/>
  <c r="F235" i="3"/>
  <c r="E235" i="3"/>
  <c r="F239" i="3"/>
  <c r="E239" i="3"/>
  <c r="D239" i="3"/>
  <c r="F240" i="3"/>
  <c r="E240" i="3"/>
  <c r="D240" i="3"/>
  <c r="D237" i="3"/>
  <c r="D236" i="3"/>
  <c r="D242" i="3"/>
  <c r="D238" i="3"/>
  <c r="D241" i="3"/>
  <c r="D243" i="3"/>
  <c r="D235" i="3" l="1"/>
  <c r="D234" i="3" s="1"/>
  <c r="D233" i="3" s="1"/>
  <c r="D232" i="3" s="1"/>
  <c r="F228" i="3"/>
  <c r="E228" i="3"/>
  <c r="D228" i="3"/>
  <c r="F230" i="3"/>
  <c r="D230" i="3"/>
  <c r="E230" i="3"/>
  <c r="D227" i="3" l="1"/>
  <c r="F227" i="3"/>
  <c r="E227" i="3"/>
  <c r="F180" i="3"/>
  <c r="E180" i="3"/>
  <c r="D180" i="3"/>
  <c r="F186" i="3"/>
  <c r="E186" i="3"/>
  <c r="D186" i="3"/>
  <c r="F184" i="3"/>
  <c r="E184" i="3"/>
  <c r="D184" i="3"/>
  <c r="D179" i="3"/>
  <c r="E183" i="3"/>
  <c r="D183" i="3"/>
  <c r="F173" i="3" l="1"/>
  <c r="E173" i="3"/>
  <c r="D173" i="3"/>
  <c r="D97" i="3" l="1"/>
  <c r="D101" i="3"/>
  <c r="F10" i="3"/>
  <c r="E10" i="3"/>
  <c r="D10" i="3"/>
  <c r="D96" i="3" l="1"/>
  <c r="F140" i="3"/>
  <c r="E140" i="3"/>
  <c r="D140" i="3"/>
  <c r="F158" i="3"/>
  <c r="F157" i="3" s="1"/>
  <c r="E158" i="3"/>
  <c r="E157" i="3" s="1"/>
  <c r="D161" i="3"/>
  <c r="D158" i="3" s="1"/>
  <c r="D157" i="3" s="1"/>
  <c r="F96" i="3" l="1"/>
  <c r="E96" i="3"/>
  <c r="D109" i="3"/>
  <c r="F31" i="3" l="1"/>
  <c r="E31" i="3"/>
  <c r="F33" i="3"/>
  <c r="E33" i="3"/>
  <c r="F220" i="3" l="1"/>
  <c r="E220" i="3"/>
  <c r="D220" i="3"/>
  <c r="F210" i="3"/>
  <c r="E210" i="3"/>
  <c r="D210" i="3"/>
  <c r="F212" i="3"/>
  <c r="E212" i="3"/>
  <c r="D212" i="3"/>
  <c r="F188" i="3"/>
  <c r="E188" i="3"/>
  <c r="D188" i="3"/>
  <c r="F197" i="3" l="1"/>
  <c r="E197" i="3"/>
  <c r="D197" i="3"/>
  <c r="F196" i="3"/>
  <c r="E196" i="3"/>
  <c r="D196" i="3"/>
  <c r="D195" i="3"/>
  <c r="E192" i="3"/>
  <c r="D192" i="3"/>
  <c r="F177" i="3"/>
  <c r="E177" i="3"/>
  <c r="D177" i="3"/>
  <c r="E191" i="3" l="1"/>
  <c r="F191" i="3"/>
  <c r="F138" i="3"/>
  <c r="E138" i="3"/>
  <c r="D138" i="3"/>
  <c r="F151" i="3"/>
  <c r="E151" i="3"/>
  <c r="D151" i="3"/>
  <c r="F71" i="3"/>
  <c r="E71" i="3"/>
  <c r="D71" i="3"/>
  <c r="F144" i="3"/>
  <c r="E144" i="3"/>
  <c r="D144" i="3"/>
  <c r="F143" i="3"/>
  <c r="E143" i="3"/>
  <c r="D143" i="3"/>
  <c r="D93" i="3"/>
  <c r="F79" i="3"/>
  <c r="E79" i="3"/>
  <c r="D79" i="3"/>
  <c r="F77" i="3"/>
  <c r="E77" i="3"/>
  <c r="D77" i="3"/>
  <c r="F75" i="3"/>
  <c r="E75" i="3"/>
  <c r="D75" i="3"/>
  <c r="F62" i="3"/>
  <c r="E62" i="3"/>
  <c r="D62" i="3"/>
  <c r="F59" i="3"/>
  <c r="E59" i="3"/>
  <c r="D59" i="3"/>
  <c r="F56" i="3"/>
  <c r="E56" i="3"/>
  <c r="D56" i="3"/>
  <c r="D51" i="3"/>
  <c r="D33" i="3" l="1"/>
  <c r="D31" i="3"/>
  <c r="F27" i="3" l="1"/>
  <c r="E27" i="3"/>
  <c r="F25" i="3"/>
  <c r="E25" i="3"/>
  <c r="F23" i="3"/>
  <c r="E23" i="3"/>
  <c r="F21" i="3"/>
  <c r="E21" i="3"/>
  <c r="D27" i="3"/>
  <c r="D25" i="3"/>
  <c r="D23" i="3"/>
  <c r="D21" i="3"/>
  <c r="D142" i="3" l="1"/>
  <c r="D139" i="3" s="1"/>
  <c r="D95" i="3"/>
  <c r="D32" i="3"/>
  <c r="D30" i="3"/>
  <c r="F171" i="3" l="1"/>
  <c r="F170" i="3" s="1"/>
  <c r="E171" i="3"/>
  <c r="E170" i="3" s="1"/>
  <c r="D171" i="3"/>
  <c r="D170" i="3" s="1"/>
  <c r="F142" i="3"/>
  <c r="F139" i="3" s="1"/>
  <c r="E142" i="3"/>
  <c r="E139" i="3" s="1"/>
  <c r="D127" i="3"/>
  <c r="E127" i="3"/>
  <c r="F127" i="3"/>
  <c r="F84" i="3"/>
  <c r="E84" i="3"/>
  <c r="D84" i="3"/>
  <c r="D81" i="3" s="1"/>
  <c r="F34" i="3" l="1"/>
  <c r="E34" i="3"/>
  <c r="D34" i="3"/>
  <c r="D219" i="3" l="1"/>
  <c r="D216" i="3"/>
  <c r="D213" i="3"/>
  <c r="D209" i="3" l="1"/>
  <c r="D208" i="3" s="1"/>
  <c r="D204" i="3"/>
  <c r="D191" i="3" s="1"/>
  <c r="F147" i="3" l="1"/>
  <c r="F146" i="3" s="1"/>
  <c r="E147" i="3"/>
  <c r="E146" i="3" s="1"/>
  <c r="D147" i="3"/>
  <c r="F120" i="3"/>
  <c r="E120" i="3"/>
  <c r="D120" i="3"/>
  <c r="F117" i="3"/>
  <c r="E117" i="3"/>
  <c r="D117" i="3"/>
  <c r="F114" i="3"/>
  <c r="E114" i="3"/>
  <c r="D114" i="3"/>
  <c r="D146" i="3" l="1"/>
  <c r="D145" i="3" s="1"/>
  <c r="F224" i="3"/>
  <c r="F223" i="3" s="1"/>
  <c r="E224" i="3"/>
  <c r="D224" i="3"/>
  <c r="D223" i="3" s="1"/>
  <c r="E223" i="3"/>
  <c r="F221" i="3"/>
  <c r="E221" i="3"/>
  <c r="D221" i="3"/>
  <c r="F209" i="3"/>
  <c r="F208" i="3" s="1"/>
  <c r="E209" i="3"/>
  <c r="E208" i="3" s="1"/>
  <c r="F190" i="3"/>
  <c r="E190" i="3"/>
  <c r="D190" i="3"/>
  <c r="F182" i="3"/>
  <c r="E182" i="3"/>
  <c r="D182" i="3"/>
  <c r="F178" i="3"/>
  <c r="D178" i="3"/>
  <c r="E178" i="3"/>
  <c r="F176" i="3"/>
  <c r="E176" i="3"/>
  <c r="D176" i="3"/>
  <c r="F155" i="3"/>
  <c r="F154" i="3" s="1"/>
  <c r="F153" i="3" s="1"/>
  <c r="E155" i="3"/>
  <c r="E154" i="3" s="1"/>
  <c r="E153" i="3" s="1"/>
  <c r="D155" i="3"/>
  <c r="D154" i="3" s="1"/>
  <c r="D153" i="3" s="1"/>
  <c r="F150" i="3"/>
  <c r="F149" i="3" s="1"/>
  <c r="E150" i="3"/>
  <c r="E149" i="3" s="1"/>
  <c r="D150" i="3"/>
  <c r="D149" i="3" s="1"/>
  <c r="F145" i="3"/>
  <c r="E145" i="3"/>
  <c r="F137" i="3"/>
  <c r="E137" i="3"/>
  <c r="D137" i="3"/>
  <c r="F134" i="3"/>
  <c r="E134" i="3"/>
  <c r="D134" i="3"/>
  <c r="F131" i="3"/>
  <c r="E131" i="3"/>
  <c r="D131" i="3"/>
  <c r="F129" i="3"/>
  <c r="E129" i="3"/>
  <c r="D129" i="3"/>
  <c r="F125" i="3"/>
  <c r="E125" i="3"/>
  <c r="D125" i="3"/>
  <c r="F123" i="3"/>
  <c r="E123" i="3"/>
  <c r="D123" i="3"/>
  <c r="F110" i="3"/>
  <c r="E110" i="3"/>
  <c r="D110" i="3"/>
  <c r="F108" i="3"/>
  <c r="E108" i="3"/>
  <c r="D108" i="3"/>
  <c r="F105" i="3"/>
  <c r="F104" i="3" s="1"/>
  <c r="E105" i="3"/>
  <c r="E104" i="3" s="1"/>
  <c r="D105" i="3"/>
  <c r="D104" i="3" s="1"/>
  <c r="E95" i="3"/>
  <c r="E94" i="3" s="1"/>
  <c r="F95" i="3"/>
  <c r="F94" i="3" s="1"/>
  <c r="D94" i="3"/>
  <c r="F92" i="3"/>
  <c r="F91" i="3" s="1"/>
  <c r="F90" i="3" s="1"/>
  <c r="E92" i="3"/>
  <c r="E91" i="3" s="1"/>
  <c r="E90" i="3" s="1"/>
  <c r="D92" i="3"/>
  <c r="D91" i="3" s="1"/>
  <c r="D90" i="3" s="1"/>
  <c r="F87" i="3"/>
  <c r="F86" i="3" s="1"/>
  <c r="E87" i="3"/>
  <c r="D87" i="3"/>
  <c r="D86" i="3" s="1"/>
  <c r="D80" i="3" s="1"/>
  <c r="E86" i="3"/>
  <c r="F81" i="3"/>
  <c r="E81" i="3"/>
  <c r="E80" i="3" s="1"/>
  <c r="F78" i="3"/>
  <c r="E78" i="3"/>
  <c r="D78" i="3"/>
  <c r="F76" i="3"/>
  <c r="E76" i="3"/>
  <c r="D76" i="3"/>
  <c r="F74" i="3"/>
  <c r="E74" i="3"/>
  <c r="D74" i="3"/>
  <c r="F69" i="3"/>
  <c r="F68" i="3" s="1"/>
  <c r="F67" i="3" s="1"/>
  <c r="E69" i="3"/>
  <c r="E68" i="3" s="1"/>
  <c r="E67" i="3" s="1"/>
  <c r="D69" i="3"/>
  <c r="D68" i="3" s="1"/>
  <c r="D67" i="3" s="1"/>
  <c r="F64" i="3"/>
  <c r="F63" i="3" s="1"/>
  <c r="E64" i="3"/>
  <c r="E63" i="3" s="1"/>
  <c r="D64" i="3"/>
  <c r="D63" i="3" s="1"/>
  <c r="F61" i="3"/>
  <c r="F60" i="3" s="1"/>
  <c r="E61" i="3"/>
  <c r="E60" i="3" s="1"/>
  <c r="D61" i="3"/>
  <c r="D60" i="3" s="1"/>
  <c r="F58" i="3"/>
  <c r="F57" i="3" s="1"/>
  <c r="E58" i="3"/>
  <c r="E57" i="3" s="1"/>
  <c r="D58" i="3"/>
  <c r="D57" i="3" s="1"/>
  <c r="F55" i="3"/>
  <c r="F54" i="3" s="1"/>
  <c r="E55" i="3"/>
  <c r="E54" i="3" s="1"/>
  <c r="D55" i="3"/>
  <c r="D54" i="3" s="1"/>
  <c r="F50" i="3"/>
  <c r="F49" i="3" s="1"/>
  <c r="E50" i="3"/>
  <c r="E49" i="3" s="1"/>
  <c r="D50" i="3"/>
  <c r="D49" i="3" s="1"/>
  <c r="F47" i="3"/>
  <c r="E47" i="3"/>
  <c r="D47" i="3"/>
  <c r="F44" i="3"/>
  <c r="E44" i="3"/>
  <c r="D44" i="3"/>
  <c r="F42" i="3"/>
  <c r="E42" i="3"/>
  <c r="D42" i="3"/>
  <c r="F39" i="3"/>
  <c r="E39" i="3"/>
  <c r="D39" i="3"/>
  <c r="F36" i="3"/>
  <c r="E36" i="3"/>
  <c r="D36" i="3"/>
  <c r="F32" i="3"/>
  <c r="E32" i="3"/>
  <c r="F30" i="3"/>
  <c r="E30" i="3"/>
  <c r="F26" i="3"/>
  <c r="E26" i="3"/>
  <c r="D26" i="3"/>
  <c r="F24" i="3"/>
  <c r="E24" i="3"/>
  <c r="D24" i="3"/>
  <c r="F22" i="3"/>
  <c r="E22" i="3"/>
  <c r="D22" i="3"/>
  <c r="D20" i="3"/>
  <c r="F20" i="3"/>
  <c r="E20" i="3"/>
  <c r="F9" i="3"/>
  <c r="E9" i="3"/>
  <c r="D9" i="3"/>
  <c r="D113" i="3" l="1"/>
  <c r="D112" i="3" s="1"/>
  <c r="D175" i="3"/>
  <c r="D89" i="3"/>
  <c r="E175" i="3"/>
  <c r="F175" i="3"/>
  <c r="D41" i="3"/>
  <c r="D73" i="3"/>
  <c r="D72" i="3" s="1"/>
  <c r="D66" i="3" s="1"/>
  <c r="D107" i="3"/>
  <c r="D207" i="3"/>
  <c r="D38" i="3"/>
  <c r="D53" i="3"/>
  <c r="D103" i="3"/>
  <c r="D19" i="3"/>
  <c r="D18" i="3" s="1"/>
  <c r="F207" i="3"/>
  <c r="F169" i="3" s="1"/>
  <c r="E207" i="3"/>
  <c r="E113" i="3"/>
  <c r="F113" i="3"/>
  <c r="F112" i="3" s="1"/>
  <c r="F19" i="3"/>
  <c r="F18" i="3" s="1"/>
  <c r="F80" i="3"/>
  <c r="E19" i="3"/>
  <c r="E18" i="3" s="1"/>
  <c r="F53" i="3"/>
  <c r="E53" i="3"/>
  <c r="E107" i="3"/>
  <c r="E103" i="3" s="1"/>
  <c r="F29" i="3"/>
  <c r="F28" i="3" s="1"/>
  <c r="E41" i="3"/>
  <c r="E38" i="3" s="1"/>
  <c r="E73" i="3"/>
  <c r="E72" i="3" s="1"/>
  <c r="E66" i="3" s="1"/>
  <c r="F107" i="3"/>
  <c r="F103" i="3" s="1"/>
  <c r="D29" i="3"/>
  <c r="D28" i="3" s="1"/>
  <c r="D46" i="3"/>
  <c r="F46" i="3"/>
  <c r="E46" i="3"/>
  <c r="E89" i="3"/>
  <c r="F73" i="3"/>
  <c r="F72" i="3" s="1"/>
  <c r="F66" i="3" s="1"/>
  <c r="F41" i="3"/>
  <c r="F38" i="3" s="1"/>
  <c r="E29" i="3"/>
  <c r="E28" i="3" s="1"/>
  <c r="F89" i="3"/>
  <c r="D169" i="3" l="1"/>
  <c r="D168" i="3" s="1"/>
  <c r="E169" i="3"/>
  <c r="D52" i="3"/>
  <c r="D8" i="3" s="1"/>
  <c r="E168" i="3"/>
  <c r="F168" i="3"/>
  <c r="F52" i="3"/>
  <c r="F8" i="3" s="1"/>
  <c r="E52" i="3"/>
  <c r="E112" i="3"/>
  <c r="E8" i="3" l="1"/>
  <c r="E244" i="3" s="1"/>
  <c r="F244" i="3"/>
</calcChain>
</file>

<file path=xl/sharedStrings.xml><?xml version="1.0" encoding="utf-8"?>
<sst xmlns="http://schemas.openxmlformats.org/spreadsheetml/2006/main" count="722" uniqueCount="445">
  <si>
    <t>Наименование</t>
  </si>
  <si>
    <t>Код бюджетной классификации Российской Федерации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</si>
  <si>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</si>
  <si>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</si>
  <si>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</si>
  <si>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</si>
  <si>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</si>
  <si>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</si>
  <si>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</si>
  <si>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</si>
  <si>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</si>
  <si>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</si>
  <si>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</si>
  <si>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</si>
  <si>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</si>
  <si>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</si>
  <si>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</si>
  <si>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</si>
  <si>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</si>
  <si>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</si>
  <si>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</si>
  <si>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</si>
  <si>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</si>
  <si>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</si>
  <si>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</si>
  <si>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</si>
  <si>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</si>
  <si>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</si>
  <si>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</si>
  <si>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</si>
  <si>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</si>
  <si>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</si>
  <si>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</si>
  <si>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</si>
  <si>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</si>
  <si>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</si>
  <si>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</si>
  <si>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</si>
  <si>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</si>
  <si>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</si>
  <si>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</si>
  <si>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</si>
  <si>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</si>
  <si>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</si>
  <si>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</si>
  <si>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</si>
  <si>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</si>
  <si>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</si>
  <si>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</si>
  <si>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</si>
  <si>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</si>
  <si>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</si>
  <si>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</si>
  <si>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</si>
  <si>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</si>
  <si>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</si>
  <si>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</si>
  <si>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</si>
  <si>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</si>
  <si>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</si>
  <si>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</si>
  <si>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</si>
  <si>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</si>
  <si>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</si>
  <si>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</si>
  <si>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</si>
  <si>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</si>
  <si>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</si>
  <si>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</si>
  <si>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</si>
  <si>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</si>
  <si>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</si>
  <si>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</si>
  <si>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</si>
  <si>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</si>
  <si>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</si>
  <si>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</si>
  <si>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</si>
  <si>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</si>
  <si>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</si>
  <si>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</si>
  <si>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</si>
  <si>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</si>
  <si>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</si>
  <si>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</si>
  <si>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</si>
  <si>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</si>
  <si>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</si>
  <si>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</si>
  <si>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</si>
  <si>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</si>
  <si>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</si>
  <si>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</si>
  <si>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</si>
  <si>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</si>
  <si>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</si>
  <si>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</si>
  <si>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</si>
  <si>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</si>
  <si>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</si>
  <si>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</si>
  <si>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</si>
  <si>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</si>
  <si>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</si>
  <si>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</si>
  <si>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</si>
  <si>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</si>
  <si>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</si>
  <si>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</si>
  <si>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</si>
  <si>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</si>
  <si>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</si>
  <si>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</si>
  <si>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</si>
  <si>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</si>
  <si>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</si>
  <si>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</si>
  <si>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</si>
  <si>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</si>
  <si>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</si>
  <si>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</si>
  <si>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</si>
  <si>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</si>
  <si>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</si>
  <si>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</si>
  <si>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</si>
  <si>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</si>
  <si>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</si>
  <si>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</si>
  <si>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</si>
  <si>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</si>
  <si>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</si>
  <si>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</si>
  <si>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</si>
  <si>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</si>
  <si>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</si>
  <si>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</si>
  <si>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</si>
  <si>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</si>
  <si>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</si>
  <si>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</si>
  <si>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</si>
  <si>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</si>
  <si>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</si>
  <si>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</si>
  <si>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</si>
  <si>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</si>
  <si>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</si>
  <si>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</si>
  <si>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</si>
  <si>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</si>
  <si>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</si>
  <si>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</si>
  <si>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</si>
  <si>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</si>
  <si>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</si>
  <si>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</si>
  <si>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</si>
  <si>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</si>
  <si>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</si>
  <si>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</si>
  <si>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</si>
  <si>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</si>
  <si>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</si>
  <si>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</si>
  <si>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</si>
  <si>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</si>
  <si>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</si>
  <si>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</si>
  <si>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</si>
  <si>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</si>
  <si>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</si>
  <si>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</si>
  <si>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</si>
  <si>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</si>
  <si>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</si>
  <si>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</si>
  <si>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</si>
  <si>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</si>
  <si>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</si>
  <si>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</si>
  <si>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</si>
  <si>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</si>
  <si>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</si>
  <si>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</si>
  <si>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</si>
  <si>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</si>
  <si>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</si>
  <si>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</si>
  <si>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</si>
  <si>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</si>
  <si>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</si>
  <si>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</si>
  <si>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</si>
  <si>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</si>
  <si>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</si>
  <si>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</si>
  <si>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</si>
  <si>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</si>
  <si>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</si>
  <si>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</si>
  <si>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</si>
  <si>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</si>
  <si>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</si>
  <si>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</si>
  <si>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</si>
  <si>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</si>
  <si>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</si>
  <si>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</si>
  <si>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</si>
  <si>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</si>
  <si>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</si>
  <si>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</si>
  <si>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</si>
  <si>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</si>
  <si>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</si>
  <si>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</si>
  <si>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</si>
  <si>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</si>
  <si>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</si>
  <si>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</si>
  <si>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</si>
  <si>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</si>
  <si>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</si>
  <si>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</si>
  <si>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</si>
  <si>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</si>
  <si>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</si>
  <si>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</si>
  <si>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</si>
  <si>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</si>
  <si>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</si>
  <si>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</si>
  <si>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</si>
  <si>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</si>
  <si>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</si>
  <si>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</si>
  <si>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</si>
  <si>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</si>
  <si>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</si>
  <si>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</si>
  <si>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</si>
  <si>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</si>
  <si>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</si>
  <si>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</si>
  <si>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</si>
  <si>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</si>
  <si>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</si>
  <si>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</si>
  <si>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</si>
  <si>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</si>
  <si>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</si>
  <si>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</si>
  <si>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</si>
  <si>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</si>
  <si>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</si>
  <si>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</si>
  <si>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</si>
  <si>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</si>
  <si>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</si>
  <si>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</si>
  <si>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</si>
  <si>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</si>
  <si>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</si>
  <si>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</si>
  <si>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</si>
  <si>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</si>
  <si>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</si>
  <si>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</si>
  <si>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</si>
  <si>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</si>
  <si>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</si>
  <si>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</si>
  <si>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</si>
  <si>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</si>
  <si>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</si>
  <si>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</si>
  <si>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</si>
  <si>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</si>
  <si>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</si>
  <si>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</si>
  <si>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</si>
  <si>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</si>
  <si>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</si>
  <si>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</si>
  <si>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</si>
  <si>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</si>
  <si>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</si>
  <si>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</si>
  <si>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</si>
  <si>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</si>
  <si>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</si>
  <si>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</si>
  <si>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</si>
  <si>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</si>
  <si>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</si>
  <si>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</si>
  <si>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</si>
  <si>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</si>
  <si>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</si>
  <si>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</si>
  <si>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</si>
  <si>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</si>
  <si>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</si>
  <si>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</si>
  <si>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</si>
  <si>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</si>
  <si>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</si>
  <si>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</si>
  <si>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</si>
  <si>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</si>
  <si>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</si>
  <si>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</si>
  <si>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</si>
  <si>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</si>
  <si>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</si>
  <si>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</si>
  <si>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</si>
  <si>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</si>
  <si>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</si>
  <si>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</si>
  <si>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</si>
  <si>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</si>
  <si>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</si>
  <si>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</si>
  <si>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</si>
  <si>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</si>
  <si>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</si>
  <si>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</si>
  <si>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</si>
  <si>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</si>
  <si>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</si>
  <si>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</si>
  <si>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</si>
  <si>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</si>
  <si>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</si>
  <si>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                                  А.П. Чихирьков</t>
  </si>
  <si>
    <t xml:space="preserve">                                       А.И. Щекина</t>
  </si>
  <si>
    <t>Прогнозируемые доходы бюджета города на 2023 год и плановый период 2024 и 2025 годов</t>
  </si>
  <si>
    <t>2025год</t>
  </si>
  <si>
    <t>1 03 02241 01 0000 110</t>
  </si>
  <si>
    <t>1 03 02251 01 0000 110</t>
  </si>
  <si>
    <t>1 03 02261 01 0000 110</t>
  </si>
  <si>
    <t>Единый сельскохозяйственный налог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</si>
  <si>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</si>
  <si>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</si>
  <si>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</si>
  <si>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</si>
  <si>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 xml:space="preserve">Плата за выбросы загрязняющих веществ в атмосферный воздух стационарными объектами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</si>
  <si>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(штрафы за пользование денежными средствами)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</si>
  <si>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(неосновательное обогащение)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</si>
  <si>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</si>
  <si>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</si>
  <si>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</si>
  <si>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Прочие субсидии бюджетам городских округов (субсидии местным бюджетам в целях софинансирования мероприятий по созданию мест (площадок) накопления твердых коммунальных отходов)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</si>
  <si>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</si>
  <si>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</si>
  <si>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</si>
  <si>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</si>
  <si>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</si>
  <si>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</si>
  <si>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Инициативные платежи</t>
  </si>
  <si>
    <t>1 17 15000 00 0000 150</t>
  </si>
  <si>
    <t>Инициативные платежи, зачисляемые в бюджеты городских округов</t>
  </si>
  <si>
    <t>1 17 15020 04 0000 150</t>
  </si>
  <si>
    <t>Инициативные платежи, зачисляемые в бюджеты городских округов (Организация детской площадки «Лесная»)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</si>
  <si>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</si>
  <si>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</si>
  <si>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</si>
  <si>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</si>
  <si>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</si>
  <si>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</si>
  <si>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</si>
  <si>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</si>
  <si>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</si>
  <si>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</si>
  <si>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</si>
  <si>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</si>
  <si>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</si>
  <si>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</si>
  <si>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Прочие доходы от  компенсации затрат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</si>
  <si>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</si>
  <si>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</si>
  <si>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</si>
  <si>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</si>
  <si>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</si>
  <si>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</si>
  <si>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</si>
  <si>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</si>
  <si>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 xml:space="preserve"> 2 18 04030 04 0000 150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</si>
  <si>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</si>
  <si>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</si>
  <si>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</si>
  <si>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</si>
  <si>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</si>
  <si>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</si>
  <si>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</si>
  <si>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1 01 02130 01 0000 110</t>
  </si>
  <si>
    <t xml:space="preserve">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</si>
  <si>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</si>
  <si>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</si>
  <si>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Дотации бюджетам на поддержку мер по обеспечению сбалансированности бюджетов</t>
  </si>
  <si>
    <t>2 02 15002 04 0000 150</t>
  </si>
  <si>
    <t>2 02 15002 00 0000 150</t>
  </si>
  <si>
    <t>Прочая субсидия бюджетам городских округов (субсидии местным бюджетам на финансовую поддержку реализации инициативных проектов)</t>
  </si>
  <si>
    <t>Прочие субсидии бюджетам городских округов (субсидий местным бюджетам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</si>
  <si>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</si>
  <si>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</si>
  <si>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</si>
  <si>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</si>
  <si>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Прочие субсидии бюджетам городских округов (субсидии местным бюджетам на развитие деятельности модельных муниципальных библиотек)</t>
  </si>
  <si>
    <t>Субсидии бюджетам городских округов на техническое оснащение региональных и муниципальных музеев</t>
  </si>
  <si>
    <t>2 02 25590 04 0000 150</t>
  </si>
  <si>
    <t>Субсидии бюджетам на техническое оснащение региональных и муниципальных музеев</t>
  </si>
  <si>
    <t>2 02 25590 00 0000 150</t>
  </si>
  <si>
    <t>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</si>
  <si>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</si>
  <si>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</si>
  <si>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</si>
  <si>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</si>
  <si>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</si>
  <si>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</si>
  <si>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</si>
  <si>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</si>
  <si>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</si>
  <si>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2 02 45179 04 0000 150</t>
  </si>
  <si>
    <t>2 02 45303 00 0000 150</t>
  </si>
  <si>
    <t>2 02 45303 04 0000 150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</si>
  <si>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</si>
  <si>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</si>
  <si>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</si>
  <si>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22.12.2022 г. № 45/326, в редакции решения Городской Думы города                           Усть-Илимска  от 00.03.2023 г. № 00/000
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</si>
  <si>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</si>
  <si>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</si>
  <si>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Доходы бюджетов городских округов от возврата бюджетными учреждениями остатков субсидий прошлых лет</t>
  </si>
  <si>
    <t xml:space="preserve"> 2 18 04010 04 0000 150</t>
  </si>
  <si>
    <t xml:space="preserve"> 1 17 15020 04 0020 150</t>
  </si>
  <si>
    <t>1 17 15020 04 0030 150</t>
  </si>
  <si>
    <t xml:space="preserve"> 1 17 15020 04 0090 150</t>
  </si>
  <si>
    <t>1 17 15020 04 0100 150</t>
  </si>
  <si>
    <t xml:space="preserve"> 1 17 15020 04 0110 150</t>
  </si>
  <si>
    <t>1 17 15020 04 0120 150</t>
  </si>
  <si>
    <t>1 17 15020 04 0130 150</t>
  </si>
  <si>
    <t>1 17 15020 04 0140 150</t>
  </si>
  <si>
    <t>1 17 15020 04 0150 150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</si>
</sst>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8" fillId="0" borderId="0"/>
  </cellStyleXfs>
  <cellXfs count="127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14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19" fillId="2" borderId="1" xfId="6" applyNumberFormat="1" applyFont="1" applyFill="1" applyBorder="1" applyAlignment="1" applyProtection="1">
      <alignment horizontal="left" vertical="center" wrapText="1"/>
    </xf>
    <xf numFmtId="49" fontId="19" fillId="2" borderId="1" xfId="7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7" fillId="2" borderId="0" xfId="10" applyFont="1" applyFill="1" applyAlignment="1">
      <alignment horizontal="left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14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0" fontId="19" fillId="2" borderId="1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NumberFormat="1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</cellXfs>
  <cellStyles count="19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51"/>
  <sheetViews>
    <sheetView tabSelected="1" view="pageBreakPreview" zoomScaleNormal="100" zoomScaleSheetLayoutView="100" workbookViewId="0">
      <selection activeCell="D8" sqref="D8"/>
    </sheetView>
  </sheetViews>
  <sheetFormatPr defaultColWidth="8.88671875" defaultRowHeight="13.8" x14ac:dyDescent="0.25"/>
  <cols>
    <col min="1" max="1" width="53.88671875" style="124" customWidth="1"/>
    <col min="2" max="2" width="8" style="52" customWidth="1"/>
    <col min="3" max="3" width="20.88671875" style="51" customWidth="1"/>
    <col min="4" max="4" width="15.33203125" style="52" customWidth="1"/>
    <col min="5" max="5" width="14.6640625" style="52" customWidth="1"/>
    <col min="6" max="6" width="15.77734375" style="6" customWidth="1"/>
    <col min="7" max="7" width="12.33203125" style="6" hidden="1" customWidth="1"/>
    <col min="8" max="8" width="10.88671875" style="6" hidden="1" customWidth="1"/>
    <col min="9" max="10" width="10" style="6" hidden="1" customWidth="1"/>
    <col min="11" max="11" width="8.88671875" style="6" hidden="1" customWidth="1"/>
    <col min="12" max="12" width="16.109375" style="6" hidden="1" customWidth="1"/>
    <col min="13" max="19" width="8.88671875" style="6" hidden="1" customWidth="1"/>
    <col min="20" max="20" width="0.33203125" style="6" hidden="1" customWidth="1"/>
    <col min="21" max="21" width="8.88671875" style="6" hidden="1" customWidth="1"/>
    <col min="22" max="22" width="0.33203125" style="6" hidden="1" customWidth="1"/>
    <col min="23" max="26" width="8.88671875" style="6" hidden="1" customWidth="1"/>
    <col min="27" max="34" width="8.88671875" style="52" hidden="1" customWidth="1"/>
    <col min="35" max="36" width="8.88671875" style="6" hidden="1" customWidth="1"/>
    <col min="37" max="37" width="0.33203125" style="6" hidden="1" customWidth="1"/>
    <col min="38" max="48" width="8.88671875" style="6" hidden="1" customWidth="1"/>
    <col min="49" max="49" width="0.44140625" style="6" hidden="1" customWidth="1"/>
    <col min="50" max="57" width="8.88671875" style="52" hidden="1" customWidth="1"/>
    <col min="58" max="58" width="19.33203125" style="52" hidden="1" customWidth="1"/>
    <col min="59" max="59" width="10" style="52" hidden="1" customWidth="1"/>
    <col min="60" max="64" width="8.88671875" style="52" hidden="1" customWidth="1"/>
    <col min="65" max="65" width="0.109375" style="6" customWidth="1"/>
    <col min="66" max="66" width="8.88671875" style="6" hidden="1" customWidth="1"/>
    <col min="67" max="67" width="35.6640625" style="52" customWidth="1"/>
    <col min="68" max="16384" width="8.88671875" style="52"/>
  </cols>
  <sheetData>
    <row r="1" spans="1:66" s="4" customFormat="1" ht="25.95" customHeight="1" x14ac:dyDescent="0.25">
      <c r="A1" s="122"/>
      <c r="B1" s="1"/>
      <c r="C1" s="2"/>
      <c r="D1" s="105" t="s">
        <v>431</v>
      </c>
      <c r="E1" s="105"/>
      <c r="F1" s="105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91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10"/>
      <c r="BL1" s="110"/>
      <c r="BM1" s="3"/>
      <c r="BN1" s="3"/>
    </row>
    <row r="2" spans="1:66" s="4" customFormat="1" ht="56.4" customHeight="1" x14ac:dyDescent="0.25">
      <c r="A2" s="122"/>
      <c r="B2" s="7"/>
      <c r="C2" s="2"/>
      <c r="D2" s="105"/>
      <c r="E2" s="105"/>
      <c r="F2" s="105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91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10"/>
      <c r="BL2" s="110"/>
      <c r="BM2" s="3"/>
      <c r="BN2" s="3"/>
    </row>
    <row r="3" spans="1:66" s="4" customFormat="1" ht="12.6" customHeight="1" x14ac:dyDescent="0.25">
      <c r="A3" s="122"/>
      <c r="B3" s="7"/>
      <c r="C3" s="2"/>
      <c r="D3" s="105"/>
      <c r="E3" s="105"/>
      <c r="F3" s="105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91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10"/>
      <c r="BL3" s="110"/>
      <c r="BM3" s="3"/>
      <c r="BN3" s="3"/>
    </row>
    <row r="4" spans="1:66" s="10" customFormat="1" ht="19.2" customHeight="1" x14ac:dyDescent="0.3">
      <c r="A4" s="109" t="s">
        <v>338</v>
      </c>
      <c r="B4" s="109"/>
      <c r="C4" s="109"/>
      <c r="D4" s="109"/>
      <c r="E4" s="109"/>
      <c r="F4" s="10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ht="19.2" customHeight="1" x14ac:dyDescent="0.25">
      <c r="A5" s="122"/>
      <c r="B5" s="11"/>
      <c r="C5" s="11"/>
      <c r="D5" s="12"/>
      <c r="F5" s="13" t="s">
        <v>312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91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28.95" customHeight="1" x14ac:dyDescent="0.25">
      <c r="A6" s="106" t="s">
        <v>0</v>
      </c>
      <c r="B6" s="107" t="s">
        <v>1</v>
      </c>
      <c r="C6" s="107"/>
      <c r="D6" s="108" t="s">
        <v>2</v>
      </c>
      <c r="E6" s="108" t="s">
        <v>331</v>
      </c>
      <c r="F6" s="108" t="s">
        <v>339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91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7" customHeight="1" x14ac:dyDescent="0.25">
      <c r="A7" s="106"/>
      <c r="B7" s="14" t="s">
        <v>3</v>
      </c>
      <c r="C7" s="14" t="s">
        <v>4</v>
      </c>
      <c r="D7" s="108"/>
      <c r="E7" s="108"/>
      <c r="F7" s="108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91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ht="16.8" customHeight="1" x14ac:dyDescent="0.25">
      <c r="A8" s="57" t="s">
        <v>5</v>
      </c>
      <c r="B8" s="16" t="s">
        <v>6</v>
      </c>
      <c r="C8" s="66" t="s">
        <v>7</v>
      </c>
      <c r="D8" s="58">
        <f>+D9+D18+D28+D38+D46+D52+D80+D89+D103+D112+D153</f>
        <v>1311986521.1600001</v>
      </c>
      <c r="E8" s="58">
        <f>+E9+E18+E28+E38+E46+E52+E80+E89+E103+E112+E153</f>
        <v>1185143546.9300001</v>
      </c>
      <c r="F8" s="58">
        <f>+F9+F18+F28+F38+F46+F52+F80+F89+F103+F112+F153</f>
        <v>1227360271.1199999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19"/>
      <c r="U8" s="119"/>
      <c r="V8" s="119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ht="15" customHeight="1" x14ac:dyDescent="0.25">
      <c r="A9" s="57" t="s">
        <v>8</v>
      </c>
      <c r="B9" s="16" t="s">
        <v>6</v>
      </c>
      <c r="C9" s="17" t="s">
        <v>9</v>
      </c>
      <c r="D9" s="58">
        <f>+D10</f>
        <v>685362903.14999998</v>
      </c>
      <c r="E9" s="58">
        <f>+E10</f>
        <v>709476886</v>
      </c>
      <c r="F9" s="58">
        <f>+F10</f>
        <v>734673319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6.2" customHeight="1" x14ac:dyDescent="0.25">
      <c r="A10" s="57" t="s">
        <v>10</v>
      </c>
      <c r="B10" s="16" t="s">
        <v>6</v>
      </c>
      <c r="C10" s="17" t="s">
        <v>11</v>
      </c>
      <c r="D10" s="58">
        <f>+D11+D12+D14+D13+D15+D16+D17</f>
        <v>685362903.14999998</v>
      </c>
      <c r="E10" s="58">
        <f t="shared" ref="E10:F10" si="0">+E11+E12+E14+E13+E15+E16+E17</f>
        <v>709476886</v>
      </c>
      <c r="F10" s="58">
        <f t="shared" si="0"/>
        <v>734673319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19"/>
      <c r="U10" s="119"/>
      <c r="V10" s="119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70.8" customHeight="1" x14ac:dyDescent="0.25">
      <c r="A11" s="76" t="s">
        <v>12</v>
      </c>
      <c r="B11" s="67" t="s">
        <v>13</v>
      </c>
      <c r="C11" s="67" t="s">
        <v>14</v>
      </c>
      <c r="D11" s="58">
        <v>610349951</v>
      </c>
      <c r="E11" s="58">
        <v>635258333</v>
      </c>
      <c r="F11" s="58">
        <v>657486022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97.2" customHeight="1" x14ac:dyDescent="0.25">
      <c r="A12" s="76" t="s">
        <v>15</v>
      </c>
      <c r="B12" s="67" t="s">
        <v>13</v>
      </c>
      <c r="C12" s="67" t="s">
        <v>16</v>
      </c>
      <c r="D12" s="58">
        <v>687790</v>
      </c>
      <c r="E12" s="58">
        <v>719428</v>
      </c>
      <c r="F12" s="58">
        <v>748206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91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44.4" customHeight="1" x14ac:dyDescent="0.25">
      <c r="A13" s="76" t="s">
        <v>17</v>
      </c>
      <c r="B13" s="67" t="s">
        <v>13</v>
      </c>
      <c r="C13" s="67" t="s">
        <v>18</v>
      </c>
      <c r="D13" s="58">
        <v>6500760</v>
      </c>
      <c r="E13" s="58">
        <v>6799795</v>
      </c>
      <c r="F13" s="58">
        <v>7071787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91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79.8" customHeight="1" x14ac:dyDescent="0.25">
      <c r="A14" s="76" t="s">
        <v>19</v>
      </c>
      <c r="B14" s="67" t="s">
        <v>13</v>
      </c>
      <c r="C14" s="67" t="s">
        <v>20</v>
      </c>
      <c r="D14" s="58">
        <v>17744430</v>
      </c>
      <c r="E14" s="58">
        <v>15422674</v>
      </c>
      <c r="F14" s="58">
        <v>16039581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91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81.599999999999994" customHeight="1" x14ac:dyDescent="0.25">
      <c r="A15" s="76" t="s">
        <v>315</v>
      </c>
      <c r="B15" s="67" t="s">
        <v>13</v>
      </c>
      <c r="C15" s="67" t="s">
        <v>314</v>
      </c>
      <c r="D15" s="58">
        <v>49021660</v>
      </c>
      <c r="E15" s="58">
        <v>51276656</v>
      </c>
      <c r="F15" s="58">
        <v>53327723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91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44.4" customHeight="1" x14ac:dyDescent="0.25">
      <c r="A16" s="95" t="s">
        <v>399</v>
      </c>
      <c r="B16" s="67" t="s">
        <v>13</v>
      </c>
      <c r="C16" s="121" t="s">
        <v>397</v>
      </c>
      <c r="D16" s="58">
        <v>1000000</v>
      </c>
      <c r="E16" s="58">
        <v>0</v>
      </c>
      <c r="F16" s="58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91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42" customHeight="1" x14ac:dyDescent="0.25">
      <c r="A17" s="95" t="s">
        <v>400</v>
      </c>
      <c r="B17" s="67" t="s">
        <v>13</v>
      </c>
      <c r="C17" s="121" t="s">
        <v>398</v>
      </c>
      <c r="D17" s="58">
        <v>58312.15</v>
      </c>
      <c r="E17" s="58">
        <v>0</v>
      </c>
      <c r="F17" s="58">
        <v>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91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27.6" customHeight="1" x14ac:dyDescent="0.25">
      <c r="A18" s="76" t="s">
        <v>21</v>
      </c>
      <c r="B18" s="67" t="s">
        <v>6</v>
      </c>
      <c r="C18" s="67" t="s">
        <v>22</v>
      </c>
      <c r="D18" s="58">
        <f>+D19</f>
        <v>15818490</v>
      </c>
      <c r="E18" s="58">
        <f>+E19</f>
        <v>17592070</v>
      </c>
      <c r="F18" s="58">
        <f>+F19</f>
        <v>18576150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91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31.2" customHeight="1" x14ac:dyDescent="0.25">
      <c r="A19" s="28" t="s">
        <v>23</v>
      </c>
      <c r="B19" s="67" t="s">
        <v>6</v>
      </c>
      <c r="C19" s="67" t="s">
        <v>24</v>
      </c>
      <c r="D19" s="58">
        <f>+D20+D22+D24+D26</f>
        <v>15818490</v>
      </c>
      <c r="E19" s="58">
        <f t="shared" ref="E19:F19" si="1">+E20+E22+E24+E26</f>
        <v>17592070</v>
      </c>
      <c r="F19" s="58">
        <f t="shared" si="1"/>
        <v>18576150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91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120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58.2" customHeight="1" x14ac:dyDescent="0.25">
      <c r="A20" s="28" t="s">
        <v>25</v>
      </c>
      <c r="B20" s="67" t="s">
        <v>6</v>
      </c>
      <c r="C20" s="67" t="s">
        <v>26</v>
      </c>
      <c r="D20" s="58">
        <f t="shared" ref="D20:F20" si="2">+D21</f>
        <v>7492430</v>
      </c>
      <c r="E20" s="58">
        <f t="shared" si="2"/>
        <v>8392870</v>
      </c>
      <c r="F20" s="58">
        <f t="shared" si="2"/>
        <v>8884140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91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120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95.4" customHeight="1" x14ac:dyDescent="0.25">
      <c r="A21" s="28" t="s">
        <v>27</v>
      </c>
      <c r="B21" s="96">
        <v>182</v>
      </c>
      <c r="C21" s="68" t="s">
        <v>28</v>
      </c>
      <c r="D21" s="59">
        <f>4753570+2738860</f>
        <v>7492430</v>
      </c>
      <c r="E21" s="59">
        <f>4753570+3639300</f>
        <v>8392870</v>
      </c>
      <c r="F21" s="59">
        <f>4753570+4130570</f>
        <v>8884140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91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120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70.2" customHeight="1" x14ac:dyDescent="0.25">
      <c r="A22" s="28" t="s">
        <v>29</v>
      </c>
      <c r="B22" s="67" t="s">
        <v>6</v>
      </c>
      <c r="C22" s="67" t="s">
        <v>30</v>
      </c>
      <c r="D22" s="58">
        <f>+D23</f>
        <v>52040</v>
      </c>
      <c r="E22" s="58">
        <f>+E23</f>
        <v>57330</v>
      </c>
      <c r="F22" s="58">
        <f>+F23</f>
        <v>59100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91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120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09.2" customHeight="1" x14ac:dyDescent="0.25">
      <c r="A23" s="28" t="s">
        <v>31</v>
      </c>
      <c r="B23" s="67" t="s">
        <v>13</v>
      </c>
      <c r="C23" s="68" t="s">
        <v>340</v>
      </c>
      <c r="D23" s="59">
        <f>26550+25490</f>
        <v>52040</v>
      </c>
      <c r="E23" s="59">
        <f>26550+30780</f>
        <v>57330</v>
      </c>
      <c r="F23" s="59">
        <f>26550+32550</f>
        <v>59100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91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120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57.6" customHeight="1" x14ac:dyDescent="0.25">
      <c r="A24" s="28" t="s">
        <v>32</v>
      </c>
      <c r="B24" s="67" t="s">
        <v>6</v>
      </c>
      <c r="C24" s="67" t="s">
        <v>33</v>
      </c>
      <c r="D24" s="58">
        <f>+D25</f>
        <v>9262170</v>
      </c>
      <c r="E24" s="58">
        <f>+E25</f>
        <v>10241020</v>
      </c>
      <c r="F24" s="58">
        <f>+F25</f>
        <v>10726930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91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120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94.95" customHeight="1" x14ac:dyDescent="0.25">
      <c r="A25" s="28" t="s">
        <v>34</v>
      </c>
      <c r="B25" s="67" t="s">
        <v>13</v>
      </c>
      <c r="C25" s="68" t="s">
        <v>341</v>
      </c>
      <c r="D25" s="59">
        <f>3045220+6216950</f>
        <v>9262170</v>
      </c>
      <c r="E25" s="59">
        <f>5901751+315199+4024070</f>
        <v>10241020</v>
      </c>
      <c r="F25" s="59">
        <f>5901751+315199+4509980</f>
        <v>10726930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91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120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62.4" customHeight="1" x14ac:dyDescent="0.25">
      <c r="A26" s="28" t="s">
        <v>35</v>
      </c>
      <c r="B26" s="67" t="s">
        <v>6</v>
      </c>
      <c r="C26" s="67" t="s">
        <v>36</v>
      </c>
      <c r="D26" s="58">
        <f>+D27</f>
        <v>-988150</v>
      </c>
      <c r="E26" s="58">
        <f>+E27</f>
        <v>-1099150</v>
      </c>
      <c r="F26" s="58">
        <f>+F27</f>
        <v>-1094020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91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120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96" customHeight="1" x14ac:dyDescent="0.25">
      <c r="A27" s="28" t="s">
        <v>37</v>
      </c>
      <c r="B27" s="67" t="s">
        <v>13</v>
      </c>
      <c r="C27" s="68" t="s">
        <v>342</v>
      </c>
      <c r="D27" s="59">
        <f>-729790-258360</f>
        <v>-988150</v>
      </c>
      <c r="E27" s="59">
        <f>-578611-151179-369360</f>
        <v>-1099150</v>
      </c>
      <c r="F27" s="59">
        <f>-578611-151179-364230</f>
        <v>-1094020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91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120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5.6" customHeight="1" x14ac:dyDescent="0.25">
      <c r="A28" s="57" t="s">
        <v>38</v>
      </c>
      <c r="B28" s="67" t="s">
        <v>6</v>
      </c>
      <c r="C28" s="17" t="s">
        <v>39</v>
      </c>
      <c r="D28" s="58">
        <f>+D36+D29+D34</f>
        <v>255800822</v>
      </c>
      <c r="E28" s="58">
        <f t="shared" ref="E28:F28" si="3">+E36+E29+E34</f>
        <v>188861207</v>
      </c>
      <c r="F28" s="58">
        <f t="shared" si="3"/>
        <v>196183775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91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5.2" customHeight="1" x14ac:dyDescent="0.25">
      <c r="A29" s="28" t="s">
        <v>40</v>
      </c>
      <c r="B29" s="67" t="s">
        <v>6</v>
      </c>
      <c r="C29" s="29" t="s">
        <v>41</v>
      </c>
      <c r="D29" s="58">
        <f>+D30+D32</f>
        <v>232730822</v>
      </c>
      <c r="E29" s="58">
        <f>+E30+E32</f>
        <v>165539207</v>
      </c>
      <c r="F29" s="58">
        <f>+F30+F32</f>
        <v>172160775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91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27" customHeight="1" x14ac:dyDescent="0.25">
      <c r="A30" s="28" t="s">
        <v>42</v>
      </c>
      <c r="B30" s="67" t="s">
        <v>6</v>
      </c>
      <c r="C30" s="29" t="s">
        <v>43</v>
      </c>
      <c r="D30" s="58">
        <f>+D31</f>
        <v>145371809</v>
      </c>
      <c r="E30" s="58">
        <f>+E31</f>
        <v>103401577</v>
      </c>
      <c r="F30" s="58">
        <f>+F31</f>
        <v>107537640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91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6.4" customHeight="1" x14ac:dyDescent="0.25">
      <c r="A31" s="28" t="s">
        <v>42</v>
      </c>
      <c r="B31" s="67" t="s">
        <v>13</v>
      </c>
      <c r="C31" s="29" t="s">
        <v>44</v>
      </c>
      <c r="D31" s="58">
        <f>98854280+46517529</f>
        <v>145371809</v>
      </c>
      <c r="E31" s="58">
        <f>103401577</f>
        <v>103401577</v>
      </c>
      <c r="F31" s="58">
        <f>107537640</f>
        <v>107537640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91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42" customHeight="1" x14ac:dyDescent="0.25">
      <c r="A32" s="28" t="s">
        <v>45</v>
      </c>
      <c r="B32" s="67" t="s">
        <v>6</v>
      </c>
      <c r="C32" s="29" t="s">
        <v>46</v>
      </c>
      <c r="D32" s="58">
        <f>+D33</f>
        <v>87359013</v>
      </c>
      <c r="E32" s="58">
        <f>+E33</f>
        <v>62137630</v>
      </c>
      <c r="F32" s="58">
        <f>+F33</f>
        <v>64623135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91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56.4" customHeight="1" x14ac:dyDescent="0.25">
      <c r="A33" s="28" t="s">
        <v>47</v>
      </c>
      <c r="B33" s="67" t="s">
        <v>13</v>
      </c>
      <c r="C33" s="29" t="s">
        <v>48</v>
      </c>
      <c r="D33" s="58">
        <f>59405000+27954013</f>
        <v>87359013</v>
      </c>
      <c r="E33" s="58">
        <f>62137630</f>
        <v>62137630</v>
      </c>
      <c r="F33" s="58">
        <f>64623135</f>
        <v>64623135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91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12" customHeight="1" x14ac:dyDescent="0.25">
      <c r="A34" s="28" t="s">
        <v>343</v>
      </c>
      <c r="B34" s="67" t="s">
        <v>6</v>
      </c>
      <c r="C34" s="29" t="s">
        <v>344</v>
      </c>
      <c r="D34" s="58">
        <f>+D35</f>
        <v>20000</v>
      </c>
      <c r="E34" s="58">
        <f t="shared" ref="E34:F34" si="4">+E35</f>
        <v>22000</v>
      </c>
      <c r="F34" s="58">
        <f t="shared" si="4"/>
        <v>23000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91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15" customHeight="1" x14ac:dyDescent="0.25">
      <c r="A35" s="28" t="s">
        <v>343</v>
      </c>
      <c r="B35" s="67" t="s">
        <v>13</v>
      </c>
      <c r="C35" s="29" t="s">
        <v>345</v>
      </c>
      <c r="D35" s="58">
        <v>20000</v>
      </c>
      <c r="E35" s="58">
        <v>22000</v>
      </c>
      <c r="F35" s="58">
        <v>23000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91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4" customFormat="1" ht="26.4" customHeight="1" x14ac:dyDescent="0.25">
      <c r="A36" s="28" t="s">
        <v>49</v>
      </c>
      <c r="B36" s="67" t="s">
        <v>6</v>
      </c>
      <c r="C36" s="69" t="s">
        <v>50</v>
      </c>
      <c r="D36" s="58">
        <f>+D37</f>
        <v>23050000</v>
      </c>
      <c r="E36" s="58">
        <f>+E37</f>
        <v>23300000</v>
      </c>
      <c r="F36" s="58">
        <f>+F37</f>
        <v>24000000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91"/>
      <c r="W36" s="3"/>
      <c r="X36" s="3"/>
      <c r="Y36" s="3"/>
      <c r="Z36" s="3"/>
      <c r="AC36" s="5"/>
      <c r="AD36" s="5"/>
      <c r="AE36" s="5"/>
      <c r="AF36" s="5"/>
      <c r="AG36" s="5"/>
      <c r="AH36" s="5"/>
      <c r="AI36" s="3"/>
      <c r="AJ36" s="3"/>
      <c r="AK36" s="3"/>
      <c r="AL36" s="3"/>
      <c r="AM36" s="3"/>
      <c r="AN36" s="3"/>
      <c r="AO36" s="3"/>
      <c r="AP36" s="3"/>
      <c r="AQ36" s="3"/>
      <c r="AR36" s="6"/>
      <c r="AS36" s="6"/>
      <c r="AT36" s="3"/>
      <c r="AU36" s="3"/>
      <c r="AV36" s="3"/>
      <c r="AW36" s="3"/>
      <c r="BM36" s="3"/>
      <c r="BN36" s="3"/>
    </row>
    <row r="37" spans="1:66" s="4" customFormat="1" ht="27.6" customHeight="1" x14ac:dyDescent="0.25">
      <c r="A37" s="28" t="s">
        <v>51</v>
      </c>
      <c r="B37" s="67" t="s">
        <v>13</v>
      </c>
      <c r="C37" s="69" t="s">
        <v>52</v>
      </c>
      <c r="D37" s="58">
        <v>23050000</v>
      </c>
      <c r="E37" s="58">
        <v>23300000</v>
      </c>
      <c r="F37" s="58">
        <v>24000000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91"/>
      <c r="W37" s="3"/>
      <c r="X37" s="3"/>
      <c r="Y37" s="3"/>
      <c r="Z37" s="3"/>
      <c r="AC37" s="5"/>
      <c r="AD37" s="5"/>
      <c r="AE37" s="5"/>
      <c r="AF37" s="5"/>
      <c r="AG37" s="5"/>
      <c r="AH37" s="5"/>
      <c r="AI37" s="3"/>
      <c r="AJ37" s="3"/>
      <c r="AK37" s="3"/>
      <c r="AL37" s="3"/>
      <c r="AM37" s="89"/>
      <c r="AN37" s="3"/>
      <c r="AO37" s="3"/>
      <c r="AP37" s="3"/>
      <c r="AQ37" s="3"/>
      <c r="AR37" s="6"/>
      <c r="AS37" s="6"/>
      <c r="AT37" s="3"/>
      <c r="AU37" s="3"/>
      <c r="AV37" s="3"/>
      <c r="AW37" s="3"/>
      <c r="BM37" s="3"/>
      <c r="BN37" s="3"/>
    </row>
    <row r="38" spans="1:66" s="23" customFormat="1" ht="15.6" customHeight="1" x14ac:dyDescent="0.25">
      <c r="A38" s="57" t="s">
        <v>53</v>
      </c>
      <c r="B38" s="67" t="s">
        <v>6</v>
      </c>
      <c r="C38" s="17" t="s">
        <v>54</v>
      </c>
      <c r="D38" s="58">
        <f>+D39+D41</f>
        <v>81450000</v>
      </c>
      <c r="E38" s="58">
        <f t="shared" ref="E38:F38" si="5">+E39+E41</f>
        <v>84300000</v>
      </c>
      <c r="F38" s="58">
        <f t="shared" si="5"/>
        <v>87000000</v>
      </c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3"/>
      <c r="U38" s="3"/>
      <c r="V38" s="91"/>
      <c r="W38" s="3"/>
      <c r="X38" s="3"/>
      <c r="Y38" s="22"/>
      <c r="Z38" s="22"/>
      <c r="AC38" s="21"/>
      <c r="AD38" s="21"/>
      <c r="AE38" s="21"/>
      <c r="AF38" s="21"/>
      <c r="AG38" s="21"/>
      <c r="AH38" s="21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BM38" s="22"/>
      <c r="BN38" s="22"/>
    </row>
    <row r="39" spans="1:66" s="4" customFormat="1" ht="14.4" customHeight="1" x14ac:dyDescent="0.25">
      <c r="A39" s="28" t="s">
        <v>55</v>
      </c>
      <c r="B39" s="67" t="s">
        <v>6</v>
      </c>
      <c r="C39" s="17" t="s">
        <v>56</v>
      </c>
      <c r="D39" s="58">
        <f>+D40</f>
        <v>14250000</v>
      </c>
      <c r="E39" s="58">
        <f>+E40</f>
        <v>16500000</v>
      </c>
      <c r="F39" s="58">
        <f>+F40</f>
        <v>18500000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91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3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4" customFormat="1" ht="41.4" customHeight="1" x14ac:dyDescent="0.25">
      <c r="A40" s="28" t="s">
        <v>57</v>
      </c>
      <c r="B40" s="67" t="s">
        <v>13</v>
      </c>
      <c r="C40" s="17" t="s">
        <v>58</v>
      </c>
      <c r="D40" s="58">
        <v>14250000</v>
      </c>
      <c r="E40" s="58">
        <v>16500000</v>
      </c>
      <c r="F40" s="58">
        <v>18500000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91"/>
      <c r="W40" s="3"/>
      <c r="X40" s="3"/>
      <c r="Y40" s="3"/>
      <c r="Z40" s="3"/>
      <c r="AC40" s="5"/>
      <c r="AD40" s="5"/>
      <c r="AE40" s="5"/>
      <c r="AF40" s="5"/>
      <c r="AG40" s="5"/>
      <c r="AH40" s="5"/>
      <c r="AI40" s="3"/>
      <c r="AJ40" s="3"/>
      <c r="AK40" s="3"/>
      <c r="AL40" s="3"/>
      <c r="AM40" s="89"/>
      <c r="AN40" s="3"/>
      <c r="AO40" s="3"/>
      <c r="AP40" s="3"/>
      <c r="AQ40" s="3"/>
      <c r="AR40" s="6"/>
      <c r="AS40" s="6"/>
      <c r="AT40" s="3"/>
      <c r="AU40" s="3"/>
      <c r="AV40" s="3"/>
      <c r="AW40" s="3"/>
      <c r="BM40" s="3"/>
      <c r="BN40" s="3"/>
    </row>
    <row r="41" spans="1:66" s="4" customFormat="1" ht="15.6" customHeight="1" x14ac:dyDescent="0.25">
      <c r="A41" s="28" t="s">
        <v>59</v>
      </c>
      <c r="B41" s="67" t="s">
        <v>6</v>
      </c>
      <c r="C41" s="67" t="s">
        <v>60</v>
      </c>
      <c r="D41" s="58">
        <f>+D42+D44</f>
        <v>67200000</v>
      </c>
      <c r="E41" s="58">
        <f>+E42+E44</f>
        <v>67800000</v>
      </c>
      <c r="F41" s="58">
        <f>+F42+F44</f>
        <v>68500000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91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3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ht="16.2" customHeight="1" x14ac:dyDescent="0.25">
      <c r="A42" s="28" t="s">
        <v>61</v>
      </c>
      <c r="B42" s="67" t="s">
        <v>6</v>
      </c>
      <c r="C42" s="67" t="s">
        <v>62</v>
      </c>
      <c r="D42" s="58">
        <f>+D43</f>
        <v>55090000</v>
      </c>
      <c r="E42" s="58">
        <f>+E43</f>
        <v>55600000</v>
      </c>
      <c r="F42" s="58">
        <f>+F43</f>
        <v>56200000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91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3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ht="26.4" customHeight="1" x14ac:dyDescent="0.25">
      <c r="A43" s="28" t="s">
        <v>63</v>
      </c>
      <c r="B43" s="67" t="s">
        <v>13</v>
      </c>
      <c r="C43" s="67" t="s">
        <v>64</v>
      </c>
      <c r="D43" s="58">
        <v>55090000</v>
      </c>
      <c r="E43" s="58">
        <v>55600000</v>
      </c>
      <c r="F43" s="58">
        <v>56200000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91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ht="13.2" customHeight="1" x14ac:dyDescent="0.25">
      <c r="A44" s="28" t="s">
        <v>65</v>
      </c>
      <c r="B44" s="67" t="s">
        <v>6</v>
      </c>
      <c r="C44" s="67" t="s">
        <v>66</v>
      </c>
      <c r="D44" s="58">
        <f>+D45</f>
        <v>12110000</v>
      </c>
      <c r="E44" s="58">
        <f>+E45</f>
        <v>12200000</v>
      </c>
      <c r="F44" s="58">
        <f>+F45</f>
        <v>12300000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91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30" customHeight="1" x14ac:dyDescent="0.25">
      <c r="A45" s="28" t="s">
        <v>67</v>
      </c>
      <c r="B45" s="67" t="s">
        <v>13</v>
      </c>
      <c r="C45" s="67" t="s">
        <v>68</v>
      </c>
      <c r="D45" s="58">
        <v>12110000</v>
      </c>
      <c r="E45" s="58">
        <v>12200000</v>
      </c>
      <c r="F45" s="58">
        <v>12300000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91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89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31" customFormat="1" ht="15.6" customHeight="1" x14ac:dyDescent="0.25">
      <c r="A46" s="57" t="s">
        <v>69</v>
      </c>
      <c r="B46" s="16" t="s">
        <v>6</v>
      </c>
      <c r="C46" s="17" t="s">
        <v>70</v>
      </c>
      <c r="D46" s="58">
        <f>+D47+D49</f>
        <v>21645000</v>
      </c>
      <c r="E46" s="58">
        <f t="shared" ref="E46:F46" si="6">+E47+E49</f>
        <v>21700000</v>
      </c>
      <c r="F46" s="58">
        <f t="shared" si="6"/>
        <v>21820000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91"/>
      <c r="U46" s="91"/>
      <c r="V46" s="91"/>
      <c r="W46" s="91"/>
      <c r="X46" s="91"/>
      <c r="Y46" s="30"/>
      <c r="Z46" s="30"/>
      <c r="AC46" s="32"/>
      <c r="AD46" s="32"/>
      <c r="AE46" s="32"/>
      <c r="AF46" s="32"/>
      <c r="AG46" s="32"/>
      <c r="AH46" s="32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BM46" s="30"/>
      <c r="BN46" s="30"/>
    </row>
    <row r="47" spans="1:66" s="31" customFormat="1" ht="28.95" customHeight="1" x14ac:dyDescent="0.25">
      <c r="A47" s="28" t="s">
        <v>71</v>
      </c>
      <c r="B47" s="67" t="s">
        <v>6</v>
      </c>
      <c r="C47" s="17" t="s">
        <v>72</v>
      </c>
      <c r="D47" s="58">
        <f>+D48</f>
        <v>21600000</v>
      </c>
      <c r="E47" s="58">
        <f>+E48</f>
        <v>21700000</v>
      </c>
      <c r="F47" s="58">
        <f>+F48</f>
        <v>21800000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91"/>
      <c r="U47" s="91"/>
      <c r="V47" s="91"/>
      <c r="W47" s="91"/>
      <c r="X47" s="91"/>
      <c r="Y47" s="30"/>
      <c r="Z47" s="30"/>
      <c r="AC47" s="32"/>
      <c r="AD47" s="32"/>
      <c r="AE47" s="32"/>
      <c r="AF47" s="32"/>
      <c r="AG47" s="32"/>
      <c r="AH47" s="32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BM47" s="30"/>
      <c r="BN47" s="30"/>
    </row>
    <row r="48" spans="1:66" s="4" customFormat="1" ht="40.200000000000003" customHeight="1" x14ac:dyDescent="0.25">
      <c r="A48" s="28" t="s">
        <v>73</v>
      </c>
      <c r="B48" s="67" t="s">
        <v>13</v>
      </c>
      <c r="C48" s="17" t="s">
        <v>74</v>
      </c>
      <c r="D48" s="58">
        <v>21600000</v>
      </c>
      <c r="E48" s="58">
        <v>21700000</v>
      </c>
      <c r="F48" s="58">
        <v>21800000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91"/>
      <c r="W48" s="3"/>
      <c r="X48" s="3"/>
      <c r="Y48" s="3"/>
      <c r="Z48" s="3"/>
      <c r="AC48" s="5"/>
      <c r="AD48" s="5"/>
      <c r="AE48" s="5"/>
      <c r="AF48" s="5"/>
      <c r="AG48" s="5"/>
      <c r="AH48" s="5"/>
      <c r="AI48" s="3"/>
      <c r="AJ48" s="3"/>
      <c r="AK48" s="3"/>
      <c r="AL48" s="3"/>
      <c r="AM48" s="89"/>
      <c r="AN48" s="3"/>
      <c r="AO48" s="3"/>
      <c r="AP48" s="3"/>
      <c r="AQ48" s="3"/>
      <c r="AR48" s="6"/>
      <c r="AS48" s="6"/>
      <c r="AT48" s="3"/>
      <c r="AU48" s="3"/>
      <c r="AV48" s="3"/>
      <c r="AW48" s="3"/>
      <c r="BM48" s="3"/>
      <c r="BN48" s="3"/>
    </row>
    <row r="49" spans="1:66" s="4" customFormat="1" ht="30.6" customHeight="1" x14ac:dyDescent="0.25">
      <c r="A49" s="28" t="s">
        <v>75</v>
      </c>
      <c r="B49" s="16" t="s">
        <v>6</v>
      </c>
      <c r="C49" s="17" t="s">
        <v>76</v>
      </c>
      <c r="D49" s="58">
        <f>+D50</f>
        <v>45000</v>
      </c>
      <c r="E49" s="58">
        <f t="shared" ref="E49:F49" si="7">+E50</f>
        <v>0</v>
      </c>
      <c r="F49" s="58">
        <f t="shared" si="7"/>
        <v>20000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91"/>
      <c r="W49" s="3"/>
      <c r="X49" s="3"/>
      <c r="Y49" s="3"/>
      <c r="Z49" s="3"/>
      <c r="AC49" s="5"/>
      <c r="AD49" s="5"/>
      <c r="AE49" s="5"/>
      <c r="AF49" s="5"/>
      <c r="AG49" s="5"/>
      <c r="AH49" s="5"/>
      <c r="AI49" s="3"/>
      <c r="AJ49" s="3"/>
      <c r="AK49" s="3"/>
      <c r="AL49" s="3"/>
      <c r="AM49" s="3"/>
      <c r="AN49" s="3"/>
      <c r="AO49" s="3"/>
      <c r="AP49" s="3"/>
      <c r="AQ49" s="3"/>
      <c r="AR49" s="6"/>
      <c r="AS49" s="6"/>
      <c r="AT49" s="3"/>
      <c r="AU49" s="3"/>
      <c r="AV49" s="3"/>
      <c r="AW49" s="3"/>
      <c r="BM49" s="3"/>
      <c r="BN49" s="3"/>
    </row>
    <row r="50" spans="1:66" s="4" customFormat="1" ht="28.95" customHeight="1" x14ac:dyDescent="0.25">
      <c r="A50" s="28" t="s">
        <v>77</v>
      </c>
      <c r="B50" s="16" t="s">
        <v>6</v>
      </c>
      <c r="C50" s="17" t="s">
        <v>79</v>
      </c>
      <c r="D50" s="58">
        <f t="shared" ref="D50:F50" si="8">+D51</f>
        <v>45000</v>
      </c>
      <c r="E50" s="58">
        <f t="shared" si="8"/>
        <v>0</v>
      </c>
      <c r="F50" s="58">
        <f t="shared" si="8"/>
        <v>20000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91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3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25.8" customHeight="1" x14ac:dyDescent="0.25">
      <c r="A51" s="28" t="s">
        <v>77</v>
      </c>
      <c r="B51" s="16" t="s">
        <v>78</v>
      </c>
      <c r="C51" s="17" t="s">
        <v>316</v>
      </c>
      <c r="D51" s="58">
        <f>15000+30000</f>
        <v>45000</v>
      </c>
      <c r="E51" s="58">
        <v>0</v>
      </c>
      <c r="F51" s="58">
        <v>20000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91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23" customFormat="1" ht="43.95" customHeight="1" x14ac:dyDescent="0.25">
      <c r="A52" s="57" t="s">
        <v>81</v>
      </c>
      <c r="B52" s="16" t="s">
        <v>6</v>
      </c>
      <c r="C52" s="17" t="s">
        <v>82</v>
      </c>
      <c r="D52" s="58">
        <f>+D53+D63+D66</f>
        <v>97242921</v>
      </c>
      <c r="E52" s="58">
        <f t="shared" ref="E52:F52" si="9">+E53+E63+E66</f>
        <v>101071085</v>
      </c>
      <c r="F52" s="58">
        <f t="shared" si="9"/>
        <v>105114721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3"/>
      <c r="U52" s="3"/>
      <c r="V52" s="91"/>
      <c r="W52" s="3"/>
      <c r="X52" s="3"/>
      <c r="Y52" s="22"/>
      <c r="Z52" s="22"/>
      <c r="AC52" s="21"/>
      <c r="AD52" s="21"/>
      <c r="AE52" s="21"/>
      <c r="AF52" s="21"/>
      <c r="AG52" s="21"/>
      <c r="AH52" s="21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BM52" s="22"/>
      <c r="BN52" s="22"/>
    </row>
    <row r="53" spans="1:66" s="4" customFormat="1" ht="69.599999999999994" customHeight="1" x14ac:dyDescent="0.25">
      <c r="A53" s="56" t="s">
        <v>83</v>
      </c>
      <c r="B53" s="70" t="s">
        <v>6</v>
      </c>
      <c r="C53" s="71" t="s">
        <v>84</v>
      </c>
      <c r="D53" s="72">
        <f>D54+D57+D60</f>
        <v>78533808</v>
      </c>
      <c r="E53" s="72">
        <f t="shared" ref="E53:F53" si="10">E54+E57+E60</f>
        <v>81895248</v>
      </c>
      <c r="F53" s="72">
        <f t="shared" si="10"/>
        <v>85416744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91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4" customFormat="1" ht="57" customHeight="1" x14ac:dyDescent="0.25">
      <c r="A54" s="56" t="s">
        <v>85</v>
      </c>
      <c r="B54" s="70" t="s">
        <v>6</v>
      </c>
      <c r="C54" s="71" t="s">
        <v>86</v>
      </c>
      <c r="D54" s="72">
        <f t="shared" ref="D54:F55" si="11">+D55</f>
        <v>62103901</v>
      </c>
      <c r="E54" s="72">
        <f t="shared" si="11"/>
        <v>64774369</v>
      </c>
      <c r="F54" s="72">
        <f t="shared" si="11"/>
        <v>67559667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91"/>
      <c r="W54" s="3"/>
      <c r="X54" s="3"/>
      <c r="Y54" s="3"/>
      <c r="Z54" s="3"/>
      <c r="AC54" s="5"/>
      <c r="AD54" s="5"/>
      <c r="AE54" s="5"/>
      <c r="AF54" s="5"/>
      <c r="AG54" s="5"/>
      <c r="AH54" s="5"/>
      <c r="AI54" s="3"/>
      <c r="AJ54" s="3"/>
      <c r="AK54" s="3"/>
      <c r="AL54" s="3"/>
      <c r="AM54" s="3"/>
      <c r="AN54" s="3"/>
      <c r="AO54" s="3"/>
      <c r="AP54" s="3"/>
      <c r="AQ54" s="3"/>
      <c r="AR54" s="6"/>
      <c r="AS54" s="6"/>
      <c r="AT54" s="3"/>
      <c r="AU54" s="3"/>
      <c r="AV54" s="3"/>
      <c r="AW54" s="3"/>
      <c r="BM54" s="3"/>
      <c r="BN54" s="3"/>
    </row>
    <row r="55" spans="1:66" s="4" customFormat="1" ht="69" customHeight="1" x14ac:dyDescent="0.25">
      <c r="A55" s="56" t="s">
        <v>87</v>
      </c>
      <c r="B55" s="70" t="s">
        <v>6</v>
      </c>
      <c r="C55" s="71" t="s">
        <v>88</v>
      </c>
      <c r="D55" s="72">
        <f t="shared" si="11"/>
        <v>62103901</v>
      </c>
      <c r="E55" s="72">
        <f t="shared" si="11"/>
        <v>64774369</v>
      </c>
      <c r="F55" s="72">
        <f t="shared" si="11"/>
        <v>67559667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91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67.2" customHeight="1" x14ac:dyDescent="0.25">
      <c r="A56" s="56" t="s">
        <v>318</v>
      </c>
      <c r="B56" s="70" t="s">
        <v>78</v>
      </c>
      <c r="C56" s="71" t="s">
        <v>317</v>
      </c>
      <c r="D56" s="72">
        <f>60890993+1212908</f>
        <v>62103901</v>
      </c>
      <c r="E56" s="72">
        <f>63509305+1265064</f>
        <v>64774369</v>
      </c>
      <c r="F56" s="72">
        <f>66240205+1319462</f>
        <v>67559667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91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70.95" customHeight="1" x14ac:dyDescent="0.25">
      <c r="A57" s="56" t="s">
        <v>89</v>
      </c>
      <c r="B57" s="70" t="s">
        <v>6</v>
      </c>
      <c r="C57" s="71" t="s">
        <v>90</v>
      </c>
      <c r="D57" s="72">
        <f t="shared" ref="D57:F58" si="12">+D58</f>
        <v>11258652</v>
      </c>
      <c r="E57" s="72">
        <f t="shared" si="12"/>
        <v>11742774</v>
      </c>
      <c r="F57" s="72">
        <f t="shared" si="12"/>
        <v>12247713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91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69" customHeight="1" x14ac:dyDescent="0.25">
      <c r="A58" s="56" t="s">
        <v>91</v>
      </c>
      <c r="B58" s="70" t="s">
        <v>6</v>
      </c>
      <c r="C58" s="71" t="s">
        <v>92</v>
      </c>
      <c r="D58" s="72">
        <f t="shared" si="12"/>
        <v>11258652</v>
      </c>
      <c r="E58" s="72">
        <f t="shared" si="12"/>
        <v>11742774</v>
      </c>
      <c r="F58" s="72">
        <f t="shared" si="12"/>
        <v>12247713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91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9.599999999999994" customHeight="1" x14ac:dyDescent="0.25">
      <c r="A59" s="56" t="s">
        <v>320</v>
      </c>
      <c r="B59" s="70" t="s">
        <v>78</v>
      </c>
      <c r="C59" s="71" t="s">
        <v>319</v>
      </c>
      <c r="D59" s="72">
        <f>9012052+2246600</f>
        <v>11258652</v>
      </c>
      <c r="E59" s="72">
        <f>9399571+2343203</f>
        <v>11742774</v>
      </c>
      <c r="F59" s="72">
        <f>9803752+2443961</f>
        <v>12247713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91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42" customHeight="1" x14ac:dyDescent="0.25">
      <c r="A60" s="56" t="s">
        <v>93</v>
      </c>
      <c r="B60" s="70" t="s">
        <v>6</v>
      </c>
      <c r="C60" s="71" t="s">
        <v>94</v>
      </c>
      <c r="D60" s="72">
        <f t="shared" ref="D60:F61" si="13">+D61</f>
        <v>5171255</v>
      </c>
      <c r="E60" s="72">
        <f t="shared" si="13"/>
        <v>5378105</v>
      </c>
      <c r="F60" s="72">
        <f t="shared" si="13"/>
        <v>5609364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91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28.8" customHeight="1" x14ac:dyDescent="0.25">
      <c r="A61" s="56" t="s">
        <v>95</v>
      </c>
      <c r="B61" s="70" t="s">
        <v>6</v>
      </c>
      <c r="C61" s="71" t="s">
        <v>96</v>
      </c>
      <c r="D61" s="72">
        <f t="shared" si="13"/>
        <v>5171255</v>
      </c>
      <c r="E61" s="72">
        <f t="shared" si="13"/>
        <v>5378105</v>
      </c>
      <c r="F61" s="72">
        <f t="shared" si="13"/>
        <v>5609364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91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39.6" x14ac:dyDescent="0.25">
      <c r="A62" s="56" t="s">
        <v>322</v>
      </c>
      <c r="B62" s="70" t="s">
        <v>78</v>
      </c>
      <c r="C62" s="71" t="s">
        <v>321</v>
      </c>
      <c r="D62" s="72">
        <f>5502231-330976</f>
        <v>5171255</v>
      </c>
      <c r="E62" s="72">
        <f>5738827-360722</f>
        <v>5378105</v>
      </c>
      <c r="F62" s="72">
        <f>5985596-376232</f>
        <v>5609364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91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27.6" customHeight="1" x14ac:dyDescent="0.25">
      <c r="A63" s="56" t="s">
        <v>97</v>
      </c>
      <c r="B63" s="70" t="s">
        <v>6</v>
      </c>
      <c r="C63" s="71" t="s">
        <v>98</v>
      </c>
      <c r="D63" s="72">
        <f>+D64</f>
        <v>316000</v>
      </c>
      <c r="E63" s="72">
        <f t="shared" ref="D63:F64" si="14">+E64</f>
        <v>347000</v>
      </c>
      <c r="F63" s="72">
        <f t="shared" si="14"/>
        <v>382000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91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40.950000000000003" customHeight="1" x14ac:dyDescent="0.25">
      <c r="A64" s="56" t="s">
        <v>99</v>
      </c>
      <c r="B64" s="70" t="s">
        <v>6</v>
      </c>
      <c r="C64" s="71" t="s">
        <v>100</v>
      </c>
      <c r="D64" s="72">
        <f t="shared" si="14"/>
        <v>316000</v>
      </c>
      <c r="E64" s="72">
        <f t="shared" si="14"/>
        <v>347000</v>
      </c>
      <c r="F64" s="72">
        <f t="shared" si="14"/>
        <v>382000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91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43.2" customHeight="1" x14ac:dyDescent="0.25">
      <c r="A65" s="56" t="s">
        <v>101</v>
      </c>
      <c r="B65" s="70" t="s">
        <v>78</v>
      </c>
      <c r="C65" s="71" t="s">
        <v>102</v>
      </c>
      <c r="D65" s="72">
        <v>316000</v>
      </c>
      <c r="E65" s="72">
        <v>347000</v>
      </c>
      <c r="F65" s="72">
        <v>382000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91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70.2" customHeight="1" x14ac:dyDescent="0.25">
      <c r="A66" s="56" t="s">
        <v>103</v>
      </c>
      <c r="B66" s="70" t="s">
        <v>6</v>
      </c>
      <c r="C66" s="71" t="s">
        <v>104</v>
      </c>
      <c r="D66" s="72">
        <f>+D67+D72</f>
        <v>18393113</v>
      </c>
      <c r="E66" s="72">
        <f t="shared" ref="E66:F66" si="15">+E67+E72</f>
        <v>18828837</v>
      </c>
      <c r="F66" s="72">
        <f t="shared" si="15"/>
        <v>19315977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91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69" customHeight="1" x14ac:dyDescent="0.25">
      <c r="A67" s="56" t="s">
        <v>105</v>
      </c>
      <c r="B67" s="70" t="s">
        <v>6</v>
      </c>
      <c r="C67" s="73" t="s">
        <v>106</v>
      </c>
      <c r="D67" s="72">
        <f t="shared" ref="D67:F68" si="16">+D68</f>
        <v>7500000</v>
      </c>
      <c r="E67" s="72">
        <f t="shared" si="16"/>
        <v>7500000</v>
      </c>
      <c r="F67" s="72">
        <f t="shared" si="16"/>
        <v>7500000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91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/>
      <c r="BN67" s="3"/>
    </row>
    <row r="68" spans="1:66" s="4" customFormat="1" ht="68.400000000000006" customHeight="1" x14ac:dyDescent="0.25">
      <c r="A68" s="56" t="s">
        <v>107</v>
      </c>
      <c r="B68" s="70" t="s">
        <v>6</v>
      </c>
      <c r="C68" s="71" t="s">
        <v>108</v>
      </c>
      <c r="D68" s="72">
        <f t="shared" si="16"/>
        <v>7500000</v>
      </c>
      <c r="E68" s="72">
        <f t="shared" si="16"/>
        <v>7500000</v>
      </c>
      <c r="F68" s="72">
        <f t="shared" si="16"/>
        <v>7500000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91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82.2" customHeight="1" x14ac:dyDescent="0.25">
      <c r="A69" s="77" t="s">
        <v>109</v>
      </c>
      <c r="B69" s="70" t="s">
        <v>6</v>
      </c>
      <c r="C69" s="71" t="s">
        <v>110</v>
      </c>
      <c r="D69" s="72">
        <f t="shared" ref="D69:F69" si="17">+D70+D71</f>
        <v>7500000</v>
      </c>
      <c r="E69" s="72">
        <f t="shared" si="17"/>
        <v>7500000</v>
      </c>
      <c r="F69" s="72">
        <f t="shared" si="17"/>
        <v>7500000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91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BM69" s="3"/>
      <c r="BN69" s="3"/>
    </row>
    <row r="70" spans="1:66" s="4" customFormat="1" ht="79.8" customHeight="1" x14ac:dyDescent="0.25">
      <c r="A70" s="77" t="s">
        <v>111</v>
      </c>
      <c r="B70" s="70" t="s">
        <v>80</v>
      </c>
      <c r="C70" s="71" t="s">
        <v>112</v>
      </c>
      <c r="D70" s="72">
        <v>7000000</v>
      </c>
      <c r="E70" s="72">
        <v>7000000</v>
      </c>
      <c r="F70" s="72">
        <v>7000000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91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BM70" s="3"/>
      <c r="BN70" s="3"/>
    </row>
    <row r="71" spans="1:66" s="4" customFormat="1" ht="84" customHeight="1" x14ac:dyDescent="0.25">
      <c r="A71" s="77" t="s">
        <v>113</v>
      </c>
      <c r="B71" s="70" t="s">
        <v>80</v>
      </c>
      <c r="C71" s="71" t="s">
        <v>114</v>
      </c>
      <c r="D71" s="72">
        <f>350000+150000</f>
        <v>500000</v>
      </c>
      <c r="E71" s="72">
        <f t="shared" ref="E71:F71" si="18">350000+150000</f>
        <v>500000</v>
      </c>
      <c r="F71" s="72">
        <f t="shared" si="18"/>
        <v>500000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91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BM71" s="3"/>
      <c r="BN71" s="3"/>
    </row>
    <row r="72" spans="1:66" s="4" customFormat="1" ht="93.6" customHeight="1" x14ac:dyDescent="0.25">
      <c r="A72" s="78" t="s">
        <v>304</v>
      </c>
      <c r="B72" s="16" t="s">
        <v>6</v>
      </c>
      <c r="C72" s="17" t="s">
        <v>303</v>
      </c>
      <c r="D72" s="58">
        <f>+D73</f>
        <v>10893113</v>
      </c>
      <c r="E72" s="58">
        <f t="shared" ref="E72:F72" si="19">+E73</f>
        <v>11328837</v>
      </c>
      <c r="F72" s="58">
        <f t="shared" si="19"/>
        <v>11815977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91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BM72" s="3"/>
      <c r="BN72" s="3"/>
    </row>
    <row r="73" spans="1:66" s="4" customFormat="1" ht="81.599999999999994" customHeight="1" x14ac:dyDescent="0.25">
      <c r="A73" s="78" t="s">
        <v>305</v>
      </c>
      <c r="B73" s="16" t="s">
        <v>6</v>
      </c>
      <c r="C73" s="17" t="s">
        <v>323</v>
      </c>
      <c r="D73" s="58">
        <f>+D74+D76+D78</f>
        <v>10893113</v>
      </c>
      <c r="E73" s="58">
        <f t="shared" ref="E73:F73" si="20">+E74+E76+E78</f>
        <v>11328837</v>
      </c>
      <c r="F73" s="58">
        <f t="shared" si="20"/>
        <v>11815977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91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BM73" s="3"/>
      <c r="BN73" s="3"/>
    </row>
    <row r="74" spans="1:66" s="4" customFormat="1" ht="85.2" customHeight="1" x14ac:dyDescent="0.25">
      <c r="A74" s="78" t="s">
        <v>305</v>
      </c>
      <c r="B74" s="16" t="s">
        <v>6</v>
      </c>
      <c r="C74" s="17" t="s">
        <v>308</v>
      </c>
      <c r="D74" s="58">
        <f t="shared" ref="D74:F74" si="21">+D75</f>
        <v>5897114</v>
      </c>
      <c r="E74" s="58">
        <f t="shared" si="21"/>
        <v>6132999</v>
      </c>
      <c r="F74" s="58">
        <f t="shared" si="21"/>
        <v>6396718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91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BM74" s="3"/>
      <c r="BN74" s="3"/>
    </row>
    <row r="75" spans="1:66" s="4" customFormat="1" ht="94.8" customHeight="1" x14ac:dyDescent="0.25">
      <c r="A75" s="28" t="s">
        <v>360</v>
      </c>
      <c r="B75" s="16" t="s">
        <v>78</v>
      </c>
      <c r="C75" s="17" t="s">
        <v>306</v>
      </c>
      <c r="D75" s="58">
        <f>6468845-571731</f>
        <v>5897114</v>
      </c>
      <c r="E75" s="58">
        <f>6747005-614006</f>
        <v>6132999</v>
      </c>
      <c r="F75" s="58">
        <f>7037127-640409</f>
        <v>6396718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91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BM75" s="3"/>
      <c r="BN75" s="3"/>
    </row>
    <row r="76" spans="1:66" s="4" customFormat="1" ht="81" customHeight="1" x14ac:dyDescent="0.25">
      <c r="A76" s="78" t="s">
        <v>305</v>
      </c>
      <c r="B76" s="16" t="s">
        <v>6</v>
      </c>
      <c r="C76" s="17" t="s">
        <v>309</v>
      </c>
      <c r="D76" s="58">
        <f t="shared" ref="D76:F76" si="22">+D77</f>
        <v>2292979</v>
      </c>
      <c r="E76" s="58">
        <f t="shared" si="22"/>
        <v>2384698</v>
      </c>
      <c r="F76" s="58">
        <f t="shared" si="22"/>
        <v>2487240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91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BM76" s="3"/>
      <c r="BN76" s="3"/>
    </row>
    <row r="77" spans="1:66" s="4" customFormat="1" ht="118.8" x14ac:dyDescent="0.25">
      <c r="A77" s="28" t="s">
        <v>346</v>
      </c>
      <c r="B77" s="16" t="s">
        <v>78</v>
      </c>
      <c r="C77" s="17" t="s">
        <v>307</v>
      </c>
      <c r="D77" s="58">
        <f>2350359-57380</f>
        <v>2292979</v>
      </c>
      <c r="E77" s="58">
        <f>2451425-66727</f>
        <v>2384698</v>
      </c>
      <c r="F77" s="58">
        <f>2556836-69596</f>
        <v>2487240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91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87.75" customHeight="1" x14ac:dyDescent="0.25">
      <c r="A78" s="28" t="s">
        <v>305</v>
      </c>
      <c r="B78" s="16" t="s">
        <v>6</v>
      </c>
      <c r="C78" s="69" t="s">
        <v>310</v>
      </c>
      <c r="D78" s="58">
        <f t="shared" ref="D78:F78" si="23">+D79</f>
        <v>2703020</v>
      </c>
      <c r="E78" s="58">
        <f t="shared" si="23"/>
        <v>2811140</v>
      </c>
      <c r="F78" s="58">
        <f t="shared" si="23"/>
        <v>2932019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91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94.2" customHeight="1" x14ac:dyDescent="0.25">
      <c r="A79" s="28" t="s">
        <v>347</v>
      </c>
      <c r="B79" s="16" t="s">
        <v>78</v>
      </c>
      <c r="C79" s="69" t="s">
        <v>311</v>
      </c>
      <c r="D79" s="58">
        <f>2391394+311626</f>
        <v>2703020</v>
      </c>
      <c r="E79" s="58">
        <f>2494224+316916</f>
        <v>2811140</v>
      </c>
      <c r="F79" s="58">
        <f>2601475+330544</f>
        <v>2932019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91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27" customHeight="1" x14ac:dyDescent="0.25">
      <c r="A80" s="57" t="s">
        <v>115</v>
      </c>
      <c r="B80" s="16" t="s">
        <v>6</v>
      </c>
      <c r="C80" s="17" t="s">
        <v>116</v>
      </c>
      <c r="D80" s="58">
        <f>+D81+D86</f>
        <v>34396866.5</v>
      </c>
      <c r="E80" s="58">
        <f>+E81+E86</f>
        <v>35753960.93</v>
      </c>
      <c r="F80" s="58">
        <f>+F81+F86</f>
        <v>37165339.119999997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91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6"/>
      <c r="AS80" s="6"/>
      <c r="AT80" s="3"/>
      <c r="AU80" s="3"/>
      <c r="AV80" s="3"/>
      <c r="AW80" s="3"/>
      <c r="BM80" s="3"/>
      <c r="BN80" s="3"/>
    </row>
    <row r="81" spans="1:66" s="4" customFormat="1" ht="15.6" customHeight="1" x14ac:dyDescent="0.25">
      <c r="A81" s="28" t="s">
        <v>117</v>
      </c>
      <c r="B81" s="16" t="s">
        <v>6</v>
      </c>
      <c r="C81" s="17" t="s">
        <v>118</v>
      </c>
      <c r="D81" s="74">
        <f>+D82+D83+D84</f>
        <v>33927360.5</v>
      </c>
      <c r="E81" s="74">
        <f t="shared" ref="E81:F81" si="24">+E82+E83+E84</f>
        <v>35284454.93</v>
      </c>
      <c r="F81" s="74">
        <f t="shared" si="24"/>
        <v>36695833.119999997</v>
      </c>
      <c r="G81" s="3"/>
      <c r="H81" s="3"/>
      <c r="I81" s="3"/>
      <c r="J81" s="3"/>
      <c r="K81" s="3"/>
      <c r="L81" s="103"/>
      <c r="M81" s="3"/>
      <c r="N81" s="3"/>
      <c r="O81" s="3"/>
      <c r="P81" s="3"/>
      <c r="Q81" s="3"/>
      <c r="R81" s="3"/>
      <c r="S81" s="3"/>
      <c r="T81" s="3"/>
      <c r="U81" s="3"/>
      <c r="V81" s="91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104"/>
      <c r="AN81" s="3"/>
      <c r="AO81" s="3"/>
      <c r="AP81" s="3"/>
      <c r="AQ81" s="3"/>
      <c r="AR81" s="103"/>
      <c r="AS81" s="6"/>
      <c r="AT81" s="3"/>
      <c r="AU81" s="3"/>
      <c r="AV81" s="3"/>
      <c r="AW81" s="3"/>
      <c r="BM81" s="3"/>
      <c r="BN81" s="3"/>
    </row>
    <row r="82" spans="1:66" s="4" customFormat="1" ht="28.2" customHeight="1" x14ac:dyDescent="0.25">
      <c r="A82" s="28" t="s">
        <v>348</v>
      </c>
      <c r="B82" s="16" t="s">
        <v>119</v>
      </c>
      <c r="C82" s="17" t="s">
        <v>120</v>
      </c>
      <c r="D82" s="58">
        <v>2689692.87</v>
      </c>
      <c r="E82" s="58">
        <v>2797280.59</v>
      </c>
      <c r="F82" s="58">
        <v>2909171.81</v>
      </c>
      <c r="G82" s="3"/>
      <c r="H82" s="25"/>
      <c r="I82" s="25"/>
      <c r="J82" s="25"/>
      <c r="K82" s="25"/>
      <c r="L82" s="103"/>
      <c r="M82" s="3"/>
      <c r="N82" s="3"/>
      <c r="O82" s="3"/>
      <c r="P82" s="3"/>
      <c r="Q82" s="3"/>
      <c r="R82" s="3"/>
      <c r="S82" s="3"/>
      <c r="T82" s="3"/>
      <c r="U82" s="3"/>
      <c r="V82" s="91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104"/>
      <c r="AN82" s="25"/>
      <c r="AO82" s="25"/>
      <c r="AP82" s="25"/>
      <c r="AQ82" s="25"/>
      <c r="AR82" s="103"/>
      <c r="AS82" s="6"/>
      <c r="AT82" s="3"/>
      <c r="AU82" s="3"/>
      <c r="AV82" s="3"/>
      <c r="AW82" s="3"/>
      <c r="BM82" s="60"/>
      <c r="BN82" s="3"/>
    </row>
    <row r="83" spans="1:66" s="4" customFormat="1" ht="15.6" customHeight="1" x14ac:dyDescent="0.25">
      <c r="A83" s="28" t="s">
        <v>121</v>
      </c>
      <c r="B83" s="16" t="s">
        <v>119</v>
      </c>
      <c r="C83" s="17" t="s">
        <v>122</v>
      </c>
      <c r="D83" s="58">
        <v>27893667.629999999</v>
      </c>
      <c r="E83" s="58">
        <v>29009414.34</v>
      </c>
      <c r="F83" s="58">
        <v>30169790.91</v>
      </c>
      <c r="G83" s="3"/>
      <c r="H83" s="25"/>
      <c r="I83" s="25"/>
      <c r="J83" s="25"/>
      <c r="K83" s="25"/>
      <c r="L83" s="103"/>
      <c r="M83" s="3"/>
      <c r="N83" s="3"/>
      <c r="O83" s="3"/>
      <c r="P83" s="3"/>
      <c r="Q83" s="3"/>
      <c r="R83" s="3"/>
      <c r="S83" s="3"/>
      <c r="T83" s="3"/>
      <c r="U83" s="3"/>
      <c r="V83" s="91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104"/>
      <c r="AN83" s="25"/>
      <c r="AO83" s="25"/>
      <c r="AP83" s="25"/>
      <c r="AQ83" s="25"/>
      <c r="AR83" s="103"/>
      <c r="AS83" s="6"/>
      <c r="AT83" s="3"/>
      <c r="AU83" s="3"/>
      <c r="AV83" s="3"/>
      <c r="AW83" s="3"/>
      <c r="BM83" s="60"/>
      <c r="BN83" s="3"/>
    </row>
    <row r="84" spans="1:66" s="4" customFormat="1" ht="17.399999999999999" customHeight="1" x14ac:dyDescent="0.25">
      <c r="A84" s="28" t="s">
        <v>123</v>
      </c>
      <c r="B84" s="16" t="s">
        <v>6</v>
      </c>
      <c r="C84" s="17" t="s">
        <v>124</v>
      </c>
      <c r="D84" s="58">
        <f>+D85</f>
        <v>3344000</v>
      </c>
      <c r="E84" s="58">
        <f t="shared" ref="E84:F84" si="25">+E85</f>
        <v>3477760</v>
      </c>
      <c r="F84" s="58">
        <f t="shared" si="25"/>
        <v>3616870.3999999999</v>
      </c>
      <c r="G84" s="3"/>
      <c r="H84" s="25"/>
      <c r="I84" s="25"/>
      <c r="J84" s="25"/>
      <c r="K84" s="25"/>
      <c r="L84" s="103"/>
      <c r="M84" s="3"/>
      <c r="N84" s="3"/>
      <c r="O84" s="3"/>
      <c r="P84" s="3"/>
      <c r="Q84" s="3"/>
      <c r="R84" s="3"/>
      <c r="S84" s="3"/>
      <c r="T84" s="3"/>
      <c r="U84" s="3"/>
      <c r="V84" s="91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104"/>
      <c r="AN84" s="25"/>
      <c r="AO84" s="25"/>
      <c r="AP84" s="25"/>
      <c r="AQ84" s="25"/>
      <c r="AR84" s="103"/>
      <c r="AS84" s="6"/>
      <c r="AT84" s="3"/>
      <c r="AU84" s="3"/>
      <c r="AV84" s="3"/>
      <c r="AW84" s="3"/>
      <c r="BM84" s="3"/>
      <c r="BN84" s="3"/>
    </row>
    <row r="85" spans="1:66" s="4" customFormat="1" ht="16.95" customHeight="1" x14ac:dyDescent="0.25">
      <c r="A85" s="28" t="s">
        <v>125</v>
      </c>
      <c r="B85" s="16" t="s">
        <v>119</v>
      </c>
      <c r="C85" s="17" t="s">
        <v>126</v>
      </c>
      <c r="D85" s="58">
        <v>3344000</v>
      </c>
      <c r="E85" s="58">
        <v>3477760</v>
      </c>
      <c r="F85" s="58">
        <v>3616870.3999999999</v>
      </c>
      <c r="G85" s="3"/>
      <c r="H85" s="25"/>
      <c r="I85" s="25"/>
      <c r="J85" s="25"/>
      <c r="K85" s="25"/>
      <c r="L85" s="103"/>
      <c r="M85" s="3"/>
      <c r="N85" s="3"/>
      <c r="O85" s="3"/>
      <c r="P85" s="3"/>
      <c r="Q85" s="3"/>
      <c r="R85" s="3"/>
      <c r="S85" s="3"/>
      <c r="T85" s="3"/>
      <c r="U85" s="3"/>
      <c r="V85" s="91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104"/>
      <c r="AN85" s="25"/>
      <c r="AO85" s="25"/>
      <c r="AP85" s="25"/>
      <c r="AQ85" s="25"/>
      <c r="AR85" s="103"/>
      <c r="AS85" s="6"/>
      <c r="AT85" s="3"/>
      <c r="AU85" s="3"/>
      <c r="AV85" s="3"/>
      <c r="AW85" s="3"/>
      <c r="BM85" s="60"/>
      <c r="BN85" s="3"/>
    </row>
    <row r="86" spans="1:66" s="4" customFormat="1" ht="18" customHeight="1" x14ac:dyDescent="0.25">
      <c r="A86" s="28" t="s">
        <v>127</v>
      </c>
      <c r="B86" s="16" t="s">
        <v>6</v>
      </c>
      <c r="C86" s="17" t="s">
        <v>128</v>
      </c>
      <c r="D86" s="58">
        <f t="shared" ref="D86:F87" si="26">+D87</f>
        <v>469506</v>
      </c>
      <c r="E86" s="58">
        <f t="shared" si="26"/>
        <v>469506</v>
      </c>
      <c r="F86" s="58">
        <f t="shared" si="26"/>
        <v>469506</v>
      </c>
      <c r="G86" s="3"/>
      <c r="H86" s="25"/>
      <c r="I86" s="25"/>
      <c r="J86" s="25"/>
      <c r="K86" s="25"/>
      <c r="L86" s="103"/>
      <c r="M86" s="3"/>
      <c r="N86" s="3"/>
      <c r="O86" s="3"/>
      <c r="P86" s="3"/>
      <c r="Q86" s="3"/>
      <c r="R86" s="3"/>
      <c r="S86" s="3"/>
      <c r="T86" s="3"/>
      <c r="U86" s="3"/>
      <c r="V86" s="91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25"/>
      <c r="AO86" s="25"/>
      <c r="AP86" s="25"/>
      <c r="AQ86" s="25"/>
      <c r="AR86" s="103"/>
      <c r="AS86" s="6"/>
      <c r="AT86" s="3"/>
      <c r="AU86" s="3"/>
      <c r="AV86" s="3"/>
      <c r="AW86" s="3"/>
      <c r="BM86" s="3"/>
      <c r="BN86" s="3"/>
    </row>
    <row r="87" spans="1:66" s="4" customFormat="1" ht="30" customHeight="1" x14ac:dyDescent="0.25">
      <c r="A87" s="28" t="s">
        <v>129</v>
      </c>
      <c r="B87" s="16" t="s">
        <v>6</v>
      </c>
      <c r="C87" s="17" t="s">
        <v>130</v>
      </c>
      <c r="D87" s="58">
        <f t="shared" si="26"/>
        <v>469506</v>
      </c>
      <c r="E87" s="58">
        <f t="shared" si="26"/>
        <v>469506</v>
      </c>
      <c r="F87" s="58">
        <f t="shared" si="26"/>
        <v>469506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91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3"/>
      <c r="AN87" s="3"/>
      <c r="AO87" s="3"/>
      <c r="AP87" s="3"/>
      <c r="AQ87" s="3"/>
      <c r="AR87" s="6"/>
      <c r="AS87" s="6"/>
      <c r="AT87" s="3"/>
      <c r="AU87" s="3"/>
      <c r="AV87" s="3"/>
      <c r="AW87" s="3"/>
      <c r="BM87" s="3"/>
      <c r="BN87" s="3"/>
    </row>
    <row r="88" spans="1:66" s="4" customFormat="1" ht="44.4" customHeight="1" x14ac:dyDescent="0.25">
      <c r="A88" s="28" t="s">
        <v>131</v>
      </c>
      <c r="B88" s="16" t="s">
        <v>78</v>
      </c>
      <c r="C88" s="17" t="s">
        <v>132</v>
      </c>
      <c r="D88" s="58">
        <v>469506</v>
      </c>
      <c r="E88" s="58">
        <v>469506</v>
      </c>
      <c r="F88" s="58">
        <v>469506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91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3"/>
      <c r="AN88" s="3"/>
      <c r="AO88" s="3"/>
      <c r="AP88" s="3"/>
      <c r="AQ88" s="3"/>
      <c r="AR88" s="6"/>
      <c r="AS88" s="6"/>
      <c r="AT88" s="3"/>
      <c r="AU88" s="3"/>
      <c r="AV88" s="3"/>
      <c r="AW88" s="3"/>
      <c r="BM88" s="3"/>
      <c r="BN88" s="3"/>
    </row>
    <row r="89" spans="1:66" s="23" customFormat="1" ht="28.2" customHeight="1" x14ac:dyDescent="0.25">
      <c r="A89" s="28" t="s">
        <v>133</v>
      </c>
      <c r="B89" s="16" t="s">
        <v>6</v>
      </c>
      <c r="C89" s="17" t="s">
        <v>134</v>
      </c>
      <c r="D89" s="58">
        <f>+D94+D90</f>
        <v>94458646.810000002</v>
      </c>
      <c r="E89" s="58">
        <f t="shared" ref="E89:F89" si="27">+E94+E90</f>
        <v>1772188</v>
      </c>
      <c r="F89" s="58">
        <f t="shared" si="27"/>
        <v>1775421</v>
      </c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3"/>
      <c r="U89" s="3"/>
      <c r="V89" s="91"/>
      <c r="W89" s="3"/>
      <c r="X89" s="3"/>
      <c r="Y89" s="22"/>
      <c r="Z89" s="22"/>
      <c r="AC89" s="21"/>
      <c r="AD89" s="21"/>
      <c r="AE89" s="21"/>
      <c r="AF89" s="21"/>
      <c r="AG89" s="21"/>
      <c r="AH89" s="21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BM89" s="22"/>
      <c r="BN89" s="22"/>
    </row>
    <row r="90" spans="1:66" s="4" customFormat="1" ht="15.6" customHeight="1" x14ac:dyDescent="0.25">
      <c r="A90" s="28" t="s">
        <v>135</v>
      </c>
      <c r="B90" s="16" t="s">
        <v>6</v>
      </c>
      <c r="C90" s="17" t="s">
        <v>136</v>
      </c>
      <c r="D90" s="58">
        <f t="shared" ref="D90:F91" si="28">+D91</f>
        <v>72296</v>
      </c>
      <c r="E90" s="58">
        <f t="shared" si="28"/>
        <v>75188</v>
      </c>
      <c r="F90" s="58">
        <f t="shared" si="28"/>
        <v>78421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91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3"/>
      <c r="AN90" s="3"/>
      <c r="AO90" s="3"/>
      <c r="AP90" s="3"/>
      <c r="AQ90" s="3"/>
      <c r="AR90" s="6"/>
      <c r="AS90" s="6"/>
      <c r="AT90" s="3"/>
      <c r="AU90" s="3"/>
      <c r="AV90" s="3"/>
      <c r="AW90" s="3"/>
      <c r="BM90" s="3"/>
      <c r="BN90" s="3"/>
    </row>
    <row r="91" spans="1:66" s="4" customFormat="1" ht="17.399999999999999" customHeight="1" x14ac:dyDescent="0.25">
      <c r="A91" s="28" t="s">
        <v>137</v>
      </c>
      <c r="B91" s="16" t="s">
        <v>6</v>
      </c>
      <c r="C91" s="17" t="s">
        <v>138</v>
      </c>
      <c r="D91" s="58">
        <f t="shared" si="28"/>
        <v>72296</v>
      </c>
      <c r="E91" s="58">
        <f t="shared" si="28"/>
        <v>75188</v>
      </c>
      <c r="F91" s="58">
        <f t="shared" si="28"/>
        <v>78421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91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3"/>
      <c r="AN91" s="3"/>
      <c r="AO91" s="3"/>
      <c r="AP91" s="3"/>
      <c r="AQ91" s="3"/>
      <c r="AR91" s="6"/>
      <c r="AS91" s="6"/>
      <c r="AT91" s="3"/>
      <c r="AU91" s="3"/>
      <c r="AV91" s="3"/>
      <c r="AW91" s="3"/>
      <c r="BM91" s="3"/>
      <c r="BN91" s="3"/>
    </row>
    <row r="92" spans="1:66" s="4" customFormat="1" ht="31.2" customHeight="1" x14ac:dyDescent="0.25">
      <c r="A92" s="28" t="s">
        <v>139</v>
      </c>
      <c r="B92" s="16" t="s">
        <v>6</v>
      </c>
      <c r="C92" s="69" t="s">
        <v>140</v>
      </c>
      <c r="D92" s="58">
        <f>SUM(D93:D93)</f>
        <v>72296</v>
      </c>
      <c r="E92" s="58">
        <f>SUM(E93:E93)</f>
        <v>75188</v>
      </c>
      <c r="F92" s="58">
        <f>SUM(F93:F93)</f>
        <v>78421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91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3"/>
      <c r="AN92" s="3"/>
      <c r="AO92" s="3"/>
      <c r="AP92" s="3"/>
      <c r="AQ92" s="3"/>
      <c r="AR92" s="6"/>
      <c r="AS92" s="6"/>
      <c r="AT92" s="3"/>
      <c r="AU92" s="3"/>
      <c r="AV92" s="3"/>
      <c r="AW92" s="3"/>
      <c r="BM92" s="3"/>
      <c r="BN92" s="3"/>
    </row>
    <row r="93" spans="1:66" s="4" customFormat="1" ht="57" customHeight="1" x14ac:dyDescent="0.25">
      <c r="A93" s="79" t="s">
        <v>141</v>
      </c>
      <c r="B93" s="16" t="s">
        <v>78</v>
      </c>
      <c r="C93" s="69" t="s">
        <v>142</v>
      </c>
      <c r="D93" s="58">
        <f>74106-1810</f>
        <v>72296</v>
      </c>
      <c r="E93" s="58">
        <v>75188</v>
      </c>
      <c r="F93" s="58">
        <v>78421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91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BM93" s="3"/>
      <c r="BN93" s="3"/>
    </row>
    <row r="94" spans="1:66" s="4" customFormat="1" ht="17.399999999999999" customHeight="1" x14ac:dyDescent="0.25">
      <c r="A94" s="28" t="s">
        <v>143</v>
      </c>
      <c r="B94" s="16" t="s">
        <v>6</v>
      </c>
      <c r="C94" s="17" t="s">
        <v>144</v>
      </c>
      <c r="D94" s="58">
        <f t="shared" ref="D94:F95" si="29">+D95</f>
        <v>94386350.810000002</v>
      </c>
      <c r="E94" s="58">
        <f t="shared" si="29"/>
        <v>1697000</v>
      </c>
      <c r="F94" s="58">
        <f t="shared" si="29"/>
        <v>1697000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91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3"/>
      <c r="AN94" s="3"/>
      <c r="AO94" s="3"/>
      <c r="AP94" s="3"/>
      <c r="AQ94" s="3"/>
      <c r="AR94" s="6"/>
      <c r="AS94" s="6"/>
      <c r="AT94" s="3"/>
      <c r="AU94" s="3"/>
      <c r="AV94" s="3"/>
      <c r="AW94" s="3"/>
      <c r="BM94" s="3"/>
      <c r="BN94" s="3"/>
    </row>
    <row r="95" spans="1:66" s="4" customFormat="1" ht="18" customHeight="1" x14ac:dyDescent="0.25">
      <c r="A95" s="28" t="s">
        <v>145</v>
      </c>
      <c r="B95" s="16" t="s">
        <v>6</v>
      </c>
      <c r="C95" s="17" t="s">
        <v>146</v>
      </c>
      <c r="D95" s="58">
        <f>+D96</f>
        <v>94386350.810000002</v>
      </c>
      <c r="E95" s="58">
        <f t="shared" si="29"/>
        <v>1697000</v>
      </c>
      <c r="F95" s="58">
        <f t="shared" si="29"/>
        <v>1697000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91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3"/>
      <c r="AO95" s="3"/>
      <c r="AP95" s="3"/>
      <c r="AQ95" s="3"/>
      <c r="AR95" s="6"/>
      <c r="AS95" s="6"/>
      <c r="AT95" s="3"/>
      <c r="AU95" s="3"/>
      <c r="AV95" s="3"/>
      <c r="AW95" s="3"/>
      <c r="BM95" s="3"/>
      <c r="BN95" s="3"/>
    </row>
    <row r="96" spans="1:66" s="4" customFormat="1" ht="30.6" customHeight="1" x14ac:dyDescent="0.25">
      <c r="A96" s="28" t="s">
        <v>147</v>
      </c>
      <c r="B96" s="16" t="s">
        <v>6</v>
      </c>
      <c r="C96" s="17" t="s">
        <v>148</v>
      </c>
      <c r="D96" s="58">
        <f>+D101+D102+D100+D97+D99+D98</f>
        <v>94386350.810000002</v>
      </c>
      <c r="E96" s="58">
        <f>+E101+E102+E100</f>
        <v>1697000</v>
      </c>
      <c r="F96" s="58">
        <f>+F101+F102+F100</f>
        <v>1697000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91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6"/>
      <c r="AS96" s="6"/>
      <c r="AT96" s="3"/>
      <c r="AU96" s="3"/>
      <c r="AV96" s="3"/>
      <c r="AW96" s="3"/>
      <c r="BM96" s="3"/>
      <c r="BN96" s="3"/>
    </row>
    <row r="97" spans="1:66" s="4" customFormat="1" ht="28.8" customHeight="1" x14ac:dyDescent="0.25">
      <c r="A97" s="57" t="s">
        <v>147</v>
      </c>
      <c r="B97" s="16" t="s">
        <v>257</v>
      </c>
      <c r="C97" s="17" t="s">
        <v>148</v>
      </c>
      <c r="D97" s="72">
        <f>637.8+2251.32+3522.13</f>
        <v>6411.25</v>
      </c>
      <c r="E97" s="58">
        <v>0</v>
      </c>
      <c r="F97" s="58">
        <v>0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91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4" customFormat="1" ht="29.4" customHeight="1" x14ac:dyDescent="0.25">
      <c r="A98" s="57" t="s">
        <v>147</v>
      </c>
      <c r="B98" s="16" t="s">
        <v>250</v>
      </c>
      <c r="C98" s="17" t="s">
        <v>148</v>
      </c>
      <c r="D98" s="72">
        <v>77012.479999999996</v>
      </c>
      <c r="E98" s="58">
        <v>0</v>
      </c>
      <c r="F98" s="58">
        <v>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91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6"/>
      <c r="AS98" s="6"/>
      <c r="AT98" s="3"/>
      <c r="AU98" s="3"/>
      <c r="AV98" s="3"/>
      <c r="AW98" s="3"/>
      <c r="BM98" s="3"/>
      <c r="BN98" s="3"/>
    </row>
    <row r="99" spans="1:66" s="4" customFormat="1" ht="32.4" customHeight="1" x14ac:dyDescent="0.25">
      <c r="A99" s="57" t="s">
        <v>147</v>
      </c>
      <c r="B99" s="16" t="s">
        <v>272</v>
      </c>
      <c r="C99" s="17" t="s">
        <v>148</v>
      </c>
      <c r="D99" s="72">
        <v>80302.95</v>
      </c>
      <c r="E99" s="58">
        <v>0</v>
      </c>
      <c r="F99" s="58">
        <v>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91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ht="30.6" customHeight="1" x14ac:dyDescent="0.25">
      <c r="A100" s="79" t="s">
        <v>380</v>
      </c>
      <c r="B100" s="16" t="s">
        <v>80</v>
      </c>
      <c r="C100" s="17" t="s">
        <v>148</v>
      </c>
      <c r="D100" s="58">
        <v>3390428.13</v>
      </c>
      <c r="E100" s="58">
        <v>0</v>
      </c>
      <c r="F100" s="58">
        <v>0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91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BM100" s="3"/>
      <c r="BN100" s="3"/>
    </row>
    <row r="101" spans="1:66" s="4" customFormat="1" ht="43.2" customHeight="1" x14ac:dyDescent="0.25">
      <c r="A101" s="57" t="s">
        <v>149</v>
      </c>
      <c r="B101" s="16" t="s">
        <v>80</v>
      </c>
      <c r="C101" s="17" t="s">
        <v>150</v>
      </c>
      <c r="D101" s="58">
        <f>787000+89135196</f>
        <v>89922196</v>
      </c>
      <c r="E101" s="58">
        <v>787000</v>
      </c>
      <c r="F101" s="58">
        <v>787000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91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BM101" s="3"/>
      <c r="BN101" s="3"/>
    </row>
    <row r="102" spans="1:66" s="4" customFormat="1" ht="34.200000000000003" customHeight="1" x14ac:dyDescent="0.25">
      <c r="A102" s="79" t="s">
        <v>151</v>
      </c>
      <c r="B102" s="16" t="s">
        <v>80</v>
      </c>
      <c r="C102" s="17" t="s">
        <v>152</v>
      </c>
      <c r="D102" s="58">
        <v>910000</v>
      </c>
      <c r="E102" s="58">
        <v>910000</v>
      </c>
      <c r="F102" s="58">
        <v>910000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91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BM102" s="3"/>
      <c r="BN102" s="3"/>
    </row>
    <row r="103" spans="1:66" s="23" customFormat="1" ht="28.8" customHeight="1" x14ac:dyDescent="0.25">
      <c r="A103" s="28" t="s">
        <v>153</v>
      </c>
      <c r="B103" s="16" t="s">
        <v>6</v>
      </c>
      <c r="C103" s="17" t="s">
        <v>154</v>
      </c>
      <c r="D103" s="58">
        <f>+D104+D107</f>
        <v>11781562</v>
      </c>
      <c r="E103" s="58">
        <f t="shared" ref="E103:F103" si="30">+E104+E107</f>
        <v>10470744</v>
      </c>
      <c r="F103" s="58">
        <f t="shared" si="30"/>
        <v>10721982</v>
      </c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3"/>
      <c r="U103" s="3"/>
      <c r="V103" s="91"/>
      <c r="W103" s="3"/>
      <c r="X103" s="3"/>
      <c r="Y103" s="22"/>
      <c r="Z103" s="22"/>
      <c r="AC103" s="21"/>
      <c r="AD103" s="21"/>
      <c r="AE103" s="21"/>
      <c r="AF103" s="21"/>
      <c r="AG103" s="21"/>
      <c r="AH103" s="21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BM103" s="22"/>
      <c r="BN103" s="22"/>
    </row>
    <row r="104" spans="1:66" s="4" customFormat="1" ht="69" customHeight="1" x14ac:dyDescent="0.25">
      <c r="A104" s="28" t="s">
        <v>155</v>
      </c>
      <c r="B104" s="33" t="s">
        <v>6</v>
      </c>
      <c r="C104" s="33" t="s">
        <v>156</v>
      </c>
      <c r="D104" s="58">
        <f t="shared" ref="D104:F105" si="31">+D105</f>
        <v>4628000</v>
      </c>
      <c r="E104" s="58">
        <f t="shared" si="31"/>
        <v>4628000</v>
      </c>
      <c r="F104" s="58">
        <f t="shared" si="31"/>
        <v>4628000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91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80.400000000000006" customHeight="1" x14ac:dyDescent="0.25">
      <c r="A105" s="28" t="s">
        <v>157</v>
      </c>
      <c r="B105" s="33" t="s">
        <v>6</v>
      </c>
      <c r="C105" s="33" t="s">
        <v>158</v>
      </c>
      <c r="D105" s="58">
        <f t="shared" si="31"/>
        <v>4628000</v>
      </c>
      <c r="E105" s="58">
        <f t="shared" si="31"/>
        <v>4628000</v>
      </c>
      <c r="F105" s="58">
        <f t="shared" si="31"/>
        <v>4628000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91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82.2" customHeight="1" x14ac:dyDescent="0.25">
      <c r="A106" s="28" t="s">
        <v>325</v>
      </c>
      <c r="B106" s="33" t="s">
        <v>78</v>
      </c>
      <c r="C106" s="33" t="s">
        <v>324</v>
      </c>
      <c r="D106" s="58">
        <v>4628000</v>
      </c>
      <c r="E106" s="58">
        <v>4628000</v>
      </c>
      <c r="F106" s="58">
        <v>4628000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91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28.8" customHeight="1" x14ac:dyDescent="0.25">
      <c r="A107" s="28" t="s">
        <v>159</v>
      </c>
      <c r="B107" s="33" t="s">
        <v>6</v>
      </c>
      <c r="C107" s="75" t="s">
        <v>160</v>
      </c>
      <c r="D107" s="58">
        <f>+D108+D110</f>
        <v>7153562</v>
      </c>
      <c r="E107" s="58">
        <f>+E108+E110</f>
        <v>5842744</v>
      </c>
      <c r="F107" s="58">
        <f>+F108+F110</f>
        <v>6093982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91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29.4" customHeight="1" x14ac:dyDescent="0.25">
      <c r="A108" s="28" t="s">
        <v>161</v>
      </c>
      <c r="B108" s="33" t="s">
        <v>6</v>
      </c>
      <c r="C108" s="75" t="s">
        <v>162</v>
      </c>
      <c r="D108" s="58">
        <f>+D109</f>
        <v>4745890</v>
      </c>
      <c r="E108" s="58">
        <f>+E109</f>
        <v>3375725</v>
      </c>
      <c r="F108" s="58">
        <f>+F109</f>
        <v>3520881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91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43.2" customHeight="1" x14ac:dyDescent="0.25">
      <c r="A109" s="28" t="s">
        <v>163</v>
      </c>
      <c r="B109" s="33" t="s">
        <v>78</v>
      </c>
      <c r="C109" s="75" t="s">
        <v>164</v>
      </c>
      <c r="D109" s="58">
        <f>3245890+1500000</f>
        <v>4745890</v>
      </c>
      <c r="E109" s="58">
        <v>3375725</v>
      </c>
      <c r="F109" s="58">
        <v>3520881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4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47.4" customHeight="1" x14ac:dyDescent="0.25">
      <c r="A110" s="28" t="s">
        <v>165</v>
      </c>
      <c r="B110" s="33" t="s">
        <v>6</v>
      </c>
      <c r="C110" s="75" t="s">
        <v>166</v>
      </c>
      <c r="D110" s="58">
        <f>+D111</f>
        <v>2407672</v>
      </c>
      <c r="E110" s="58">
        <f>+E111</f>
        <v>2467019</v>
      </c>
      <c r="F110" s="58">
        <f>+F111</f>
        <v>2573101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91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6"/>
      <c r="AS110" s="6"/>
      <c r="AT110" s="3"/>
      <c r="AU110" s="3"/>
      <c r="AV110" s="3"/>
      <c r="AW110" s="3"/>
      <c r="BM110" s="3"/>
      <c r="BN110" s="3"/>
    </row>
    <row r="111" spans="1:66" s="4" customFormat="1" ht="48.6" customHeight="1" x14ac:dyDescent="0.25">
      <c r="A111" s="28" t="s">
        <v>167</v>
      </c>
      <c r="B111" s="33" t="s">
        <v>78</v>
      </c>
      <c r="C111" s="75" t="s">
        <v>168</v>
      </c>
      <c r="D111" s="58">
        <v>2407672</v>
      </c>
      <c r="E111" s="58">
        <v>2467019</v>
      </c>
      <c r="F111" s="58">
        <v>2573101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91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6"/>
      <c r="AS111" s="6"/>
      <c r="AT111" s="3"/>
      <c r="AU111" s="3"/>
      <c r="AV111" s="3"/>
      <c r="AW111" s="3"/>
      <c r="BM111" s="3"/>
      <c r="BN111" s="3"/>
    </row>
    <row r="112" spans="1:66" s="4" customFormat="1" ht="15" customHeight="1" x14ac:dyDescent="0.25">
      <c r="A112" s="28" t="s">
        <v>169</v>
      </c>
      <c r="B112" s="16" t="s">
        <v>6</v>
      </c>
      <c r="C112" s="17" t="s">
        <v>170</v>
      </c>
      <c r="D112" s="58">
        <f>+D113+D137+D139+D149+D145+D152</f>
        <v>15301737.199999999</v>
      </c>
      <c r="E112" s="58">
        <f>+E113+E137+E139+E149+E145</f>
        <v>13650504</v>
      </c>
      <c r="F112" s="58">
        <f>+F113+F137+F139+F149+F145</f>
        <v>14014395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91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5"/>
      <c r="AQ112" s="3"/>
      <c r="AR112" s="6"/>
      <c r="AS112" s="6"/>
      <c r="AT112" s="3"/>
      <c r="AU112" s="3"/>
      <c r="AV112" s="3"/>
      <c r="AW112" s="3"/>
      <c r="BM112" s="3"/>
      <c r="BN112" s="3"/>
    </row>
    <row r="113" spans="1:66" s="4" customFormat="1" ht="31.8" customHeight="1" x14ac:dyDescent="0.25">
      <c r="A113" s="28" t="s">
        <v>171</v>
      </c>
      <c r="B113" s="16" t="s">
        <v>6</v>
      </c>
      <c r="C113" s="17" t="s">
        <v>172</v>
      </c>
      <c r="D113" s="58">
        <f>+D114+D117+D120+D127+D131+D134+D123+D125+D129</f>
        <v>4476820</v>
      </c>
      <c r="E113" s="58">
        <f t="shared" ref="E113:F113" si="32">+E114+E117+E120+E127+E131+E134+E123+E125+E129</f>
        <v>4481240</v>
      </c>
      <c r="F113" s="58">
        <f t="shared" si="32"/>
        <v>4485820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91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"/>
      <c r="AQ113" s="3"/>
      <c r="AR113" s="6"/>
      <c r="AS113" s="6"/>
      <c r="AT113" s="3"/>
      <c r="AU113" s="3"/>
      <c r="AV113" s="3"/>
      <c r="AW113" s="3"/>
      <c r="BM113" s="3"/>
      <c r="BN113" s="3"/>
    </row>
    <row r="114" spans="1:66" s="4" customFormat="1" ht="44.4" customHeight="1" x14ac:dyDescent="0.25">
      <c r="A114" s="28" t="s">
        <v>173</v>
      </c>
      <c r="B114" s="16" t="s">
        <v>6</v>
      </c>
      <c r="C114" s="69" t="s">
        <v>174</v>
      </c>
      <c r="D114" s="58">
        <f>+D115+D116</f>
        <v>32490</v>
      </c>
      <c r="E114" s="58">
        <f t="shared" ref="E114:F114" si="33">+E115+E116</f>
        <v>33280</v>
      </c>
      <c r="F114" s="58">
        <f t="shared" si="33"/>
        <v>34100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91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BM114" s="3"/>
      <c r="BN114" s="3"/>
    </row>
    <row r="115" spans="1:66" s="4" customFormat="1" ht="68.400000000000006" customHeight="1" x14ac:dyDescent="0.25">
      <c r="A115" s="28" t="s">
        <v>175</v>
      </c>
      <c r="B115" s="16" t="s">
        <v>176</v>
      </c>
      <c r="C115" s="69" t="s">
        <v>177</v>
      </c>
      <c r="D115" s="58">
        <v>19730</v>
      </c>
      <c r="E115" s="58">
        <v>20520</v>
      </c>
      <c r="F115" s="58">
        <v>21340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91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6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BM115" s="3"/>
      <c r="BN115" s="3"/>
    </row>
    <row r="116" spans="1:66" s="4" customFormat="1" ht="72.599999999999994" customHeight="1" x14ac:dyDescent="0.25">
      <c r="A116" s="28" t="s">
        <v>175</v>
      </c>
      <c r="B116" s="16" t="s">
        <v>178</v>
      </c>
      <c r="C116" s="69" t="s">
        <v>177</v>
      </c>
      <c r="D116" s="58">
        <v>12760</v>
      </c>
      <c r="E116" s="58">
        <v>12760</v>
      </c>
      <c r="F116" s="58">
        <v>12760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91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6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BM116" s="3"/>
      <c r="BN116" s="3"/>
    </row>
    <row r="117" spans="1:66" s="4" customFormat="1" ht="69" customHeight="1" x14ac:dyDescent="0.25">
      <c r="A117" s="28" t="s">
        <v>179</v>
      </c>
      <c r="B117" s="16" t="s">
        <v>6</v>
      </c>
      <c r="C117" s="69" t="s">
        <v>180</v>
      </c>
      <c r="D117" s="58">
        <f>+D118+D119</f>
        <v>505000</v>
      </c>
      <c r="E117" s="58">
        <f t="shared" ref="E117:F117" si="34">+E118+E119</f>
        <v>505660</v>
      </c>
      <c r="F117" s="58">
        <f t="shared" si="34"/>
        <v>506340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91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BM117" s="3"/>
      <c r="BN117" s="3"/>
    </row>
    <row r="118" spans="1:66" s="4" customFormat="1" ht="80.400000000000006" customHeight="1" x14ac:dyDescent="0.25">
      <c r="A118" s="28" t="s">
        <v>181</v>
      </c>
      <c r="B118" s="16" t="s">
        <v>176</v>
      </c>
      <c r="C118" s="69" t="s">
        <v>182</v>
      </c>
      <c r="D118" s="58">
        <v>16380</v>
      </c>
      <c r="E118" s="58">
        <v>17040</v>
      </c>
      <c r="F118" s="58">
        <v>17720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91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6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BM118" s="3"/>
      <c r="BN118" s="3"/>
    </row>
    <row r="119" spans="1:66" s="4" customFormat="1" ht="83.4" customHeight="1" x14ac:dyDescent="0.25">
      <c r="A119" s="28" t="s">
        <v>181</v>
      </c>
      <c r="B119" s="16" t="s">
        <v>178</v>
      </c>
      <c r="C119" s="69" t="s">
        <v>182</v>
      </c>
      <c r="D119" s="58">
        <v>488620</v>
      </c>
      <c r="E119" s="58">
        <v>488620</v>
      </c>
      <c r="F119" s="58">
        <v>488620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91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6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BM119" s="3"/>
      <c r="BN119" s="3"/>
    </row>
    <row r="120" spans="1:66" s="4" customFormat="1" ht="55.2" customHeight="1" x14ac:dyDescent="0.25">
      <c r="A120" s="28" t="s">
        <v>183</v>
      </c>
      <c r="B120" s="16" t="s">
        <v>6</v>
      </c>
      <c r="C120" s="69" t="s">
        <v>184</v>
      </c>
      <c r="D120" s="58">
        <f>+D122+D121</f>
        <v>22040</v>
      </c>
      <c r="E120" s="58">
        <f t="shared" ref="E120:F120" si="35">+E122+E121</f>
        <v>22140</v>
      </c>
      <c r="F120" s="58">
        <f t="shared" si="35"/>
        <v>22240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91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BM120" s="3"/>
      <c r="BN120" s="3"/>
    </row>
    <row r="121" spans="1:66" s="4" customFormat="1" ht="70.95" customHeight="1" x14ac:dyDescent="0.25">
      <c r="A121" s="28" t="s">
        <v>185</v>
      </c>
      <c r="B121" s="16" t="s">
        <v>176</v>
      </c>
      <c r="C121" s="69" t="s">
        <v>186</v>
      </c>
      <c r="D121" s="58">
        <v>2350</v>
      </c>
      <c r="E121" s="58">
        <v>2450</v>
      </c>
      <c r="F121" s="58">
        <v>2550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91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BM121" s="3"/>
      <c r="BN121" s="3"/>
    </row>
    <row r="122" spans="1:66" s="4" customFormat="1" ht="69" customHeight="1" x14ac:dyDescent="0.25">
      <c r="A122" s="28" t="s">
        <v>185</v>
      </c>
      <c r="B122" s="16" t="s">
        <v>178</v>
      </c>
      <c r="C122" s="69" t="s">
        <v>186</v>
      </c>
      <c r="D122" s="58">
        <v>19690</v>
      </c>
      <c r="E122" s="58">
        <v>19690</v>
      </c>
      <c r="F122" s="58">
        <v>19690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91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6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BM122" s="3"/>
      <c r="BN122" s="3"/>
    </row>
    <row r="123" spans="1:66" s="4" customFormat="1" ht="58.2" customHeight="1" x14ac:dyDescent="0.25">
      <c r="A123" s="28" t="s">
        <v>187</v>
      </c>
      <c r="B123" s="16" t="s">
        <v>6</v>
      </c>
      <c r="C123" s="69" t="s">
        <v>188</v>
      </c>
      <c r="D123" s="58">
        <f t="shared" ref="D123:F123" si="36">+D124</f>
        <v>273350</v>
      </c>
      <c r="E123" s="58">
        <f t="shared" si="36"/>
        <v>273350</v>
      </c>
      <c r="F123" s="58">
        <f t="shared" si="36"/>
        <v>273350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91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BM123" s="3"/>
      <c r="BN123" s="3"/>
    </row>
    <row r="124" spans="1:66" s="4" customFormat="1" ht="71.400000000000006" customHeight="1" x14ac:dyDescent="0.25">
      <c r="A124" s="28" t="s">
        <v>189</v>
      </c>
      <c r="B124" s="16" t="s">
        <v>178</v>
      </c>
      <c r="C124" s="69" t="s">
        <v>190</v>
      </c>
      <c r="D124" s="58">
        <v>273350</v>
      </c>
      <c r="E124" s="58">
        <v>273350</v>
      </c>
      <c r="F124" s="58">
        <v>273350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91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6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BM124" s="3"/>
      <c r="BN124" s="3"/>
    </row>
    <row r="125" spans="1:66" s="4" customFormat="1" ht="69" customHeight="1" x14ac:dyDescent="0.25">
      <c r="A125" s="28" t="s">
        <v>191</v>
      </c>
      <c r="B125" s="16" t="s">
        <v>6</v>
      </c>
      <c r="C125" s="69" t="s">
        <v>192</v>
      </c>
      <c r="D125" s="58">
        <f t="shared" ref="D125:F125" si="37">+D126</f>
        <v>821150</v>
      </c>
      <c r="E125" s="58">
        <f t="shared" si="37"/>
        <v>821150</v>
      </c>
      <c r="F125" s="58">
        <f t="shared" si="37"/>
        <v>821150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91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BM125" s="3"/>
      <c r="BN125" s="3"/>
    </row>
    <row r="126" spans="1:66" s="4" customFormat="1" ht="82.95" customHeight="1" x14ac:dyDescent="0.25">
      <c r="A126" s="28" t="s">
        <v>193</v>
      </c>
      <c r="B126" s="16" t="s">
        <v>178</v>
      </c>
      <c r="C126" s="69" t="s">
        <v>194</v>
      </c>
      <c r="D126" s="58">
        <v>821150</v>
      </c>
      <c r="E126" s="58">
        <v>821150</v>
      </c>
      <c r="F126" s="58">
        <v>821150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91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6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57.6" customHeight="1" x14ac:dyDescent="0.25">
      <c r="A127" s="28" t="s">
        <v>195</v>
      </c>
      <c r="B127" s="16" t="s">
        <v>6</v>
      </c>
      <c r="C127" s="69" t="s">
        <v>196</v>
      </c>
      <c r="D127" s="58">
        <f t="shared" ref="D127:F127" si="38">+D128</f>
        <v>45650</v>
      </c>
      <c r="E127" s="58">
        <f t="shared" si="38"/>
        <v>45650</v>
      </c>
      <c r="F127" s="58">
        <f t="shared" si="38"/>
        <v>45650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91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96" customHeight="1" x14ac:dyDescent="0.25">
      <c r="A128" s="28" t="s">
        <v>197</v>
      </c>
      <c r="B128" s="16" t="s">
        <v>178</v>
      </c>
      <c r="C128" s="69" t="s">
        <v>198</v>
      </c>
      <c r="D128" s="58">
        <v>45650</v>
      </c>
      <c r="E128" s="58">
        <v>45650</v>
      </c>
      <c r="F128" s="58">
        <v>45650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91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6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58.8" customHeight="1" x14ac:dyDescent="0.25">
      <c r="A129" s="28" t="s">
        <v>199</v>
      </c>
      <c r="B129" s="16" t="s">
        <v>6</v>
      </c>
      <c r="C129" s="69" t="s">
        <v>200</v>
      </c>
      <c r="D129" s="58">
        <f t="shared" ref="D129:F129" si="39">+D130</f>
        <v>10890</v>
      </c>
      <c r="E129" s="58">
        <f t="shared" si="39"/>
        <v>10890</v>
      </c>
      <c r="F129" s="58">
        <f t="shared" si="39"/>
        <v>10890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91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68.400000000000006" customHeight="1" x14ac:dyDescent="0.25">
      <c r="A130" s="28" t="s">
        <v>201</v>
      </c>
      <c r="B130" s="16" t="s">
        <v>178</v>
      </c>
      <c r="C130" s="69" t="s">
        <v>202</v>
      </c>
      <c r="D130" s="58">
        <v>10890</v>
      </c>
      <c r="E130" s="58">
        <v>10890</v>
      </c>
      <c r="F130" s="58">
        <v>10890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91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6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43.2" customHeight="1" x14ac:dyDescent="0.25">
      <c r="A131" s="28" t="s">
        <v>203</v>
      </c>
      <c r="B131" s="16" t="s">
        <v>6</v>
      </c>
      <c r="C131" s="69" t="s">
        <v>204</v>
      </c>
      <c r="D131" s="58">
        <f t="shared" ref="D131:F131" si="40">+D132+D133</f>
        <v>945580</v>
      </c>
      <c r="E131" s="58">
        <f t="shared" si="40"/>
        <v>946560</v>
      </c>
      <c r="F131" s="58">
        <f t="shared" si="40"/>
        <v>947580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91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72" customHeight="1" x14ac:dyDescent="0.25">
      <c r="A132" s="28" t="s">
        <v>205</v>
      </c>
      <c r="B132" s="16" t="s">
        <v>176</v>
      </c>
      <c r="C132" s="69" t="s">
        <v>206</v>
      </c>
      <c r="D132" s="58">
        <v>24550</v>
      </c>
      <c r="E132" s="58">
        <v>25530</v>
      </c>
      <c r="F132" s="58">
        <v>26550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91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6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69.599999999999994" customHeight="1" x14ac:dyDescent="0.25">
      <c r="A133" s="28" t="s">
        <v>205</v>
      </c>
      <c r="B133" s="16" t="s">
        <v>178</v>
      </c>
      <c r="C133" s="69" t="s">
        <v>206</v>
      </c>
      <c r="D133" s="58">
        <v>921030</v>
      </c>
      <c r="E133" s="58">
        <v>921030</v>
      </c>
      <c r="F133" s="58">
        <v>921030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91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6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55.2" customHeight="1" x14ac:dyDescent="0.25">
      <c r="A134" s="28" t="s">
        <v>207</v>
      </c>
      <c r="B134" s="16" t="s">
        <v>6</v>
      </c>
      <c r="C134" s="69" t="s">
        <v>208</v>
      </c>
      <c r="D134" s="58">
        <f t="shared" ref="D134:F134" si="41">+D135+D136</f>
        <v>1820670</v>
      </c>
      <c r="E134" s="58">
        <f t="shared" si="41"/>
        <v>1822560</v>
      </c>
      <c r="F134" s="58">
        <f t="shared" si="41"/>
        <v>1824520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91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84" customHeight="1" x14ac:dyDescent="0.25">
      <c r="A135" s="28" t="s">
        <v>209</v>
      </c>
      <c r="B135" s="16" t="s">
        <v>176</v>
      </c>
      <c r="C135" s="69" t="s">
        <v>210</v>
      </c>
      <c r="D135" s="58">
        <v>47140</v>
      </c>
      <c r="E135" s="58">
        <v>49030</v>
      </c>
      <c r="F135" s="58">
        <v>50990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91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6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81.599999999999994" customHeight="1" x14ac:dyDescent="0.25">
      <c r="A136" s="28" t="s">
        <v>209</v>
      </c>
      <c r="B136" s="16" t="s">
        <v>178</v>
      </c>
      <c r="C136" s="69" t="s">
        <v>210</v>
      </c>
      <c r="D136" s="58">
        <v>1773530</v>
      </c>
      <c r="E136" s="58">
        <v>1773530</v>
      </c>
      <c r="F136" s="58">
        <v>1773530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91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6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28.8" customHeight="1" x14ac:dyDescent="0.25">
      <c r="A137" s="28" t="s">
        <v>211</v>
      </c>
      <c r="B137" s="37" t="s">
        <v>6</v>
      </c>
      <c r="C137" s="38" t="s">
        <v>212</v>
      </c>
      <c r="D137" s="58">
        <f>+D138</f>
        <v>165000</v>
      </c>
      <c r="E137" s="58">
        <f>+E138</f>
        <v>165000</v>
      </c>
      <c r="F137" s="58">
        <f>+F138</f>
        <v>165000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91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57" customHeight="1" x14ac:dyDescent="0.25">
      <c r="A138" s="28" t="s">
        <v>332</v>
      </c>
      <c r="B138" s="37" t="s">
        <v>213</v>
      </c>
      <c r="C138" s="38" t="s">
        <v>214</v>
      </c>
      <c r="D138" s="58">
        <f>160000+5000</f>
        <v>165000</v>
      </c>
      <c r="E138" s="58">
        <f t="shared" ref="E138:F138" si="42">160000+5000</f>
        <v>165000</v>
      </c>
      <c r="F138" s="58">
        <f t="shared" si="42"/>
        <v>165000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91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89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99" customHeight="1" x14ac:dyDescent="0.25">
      <c r="A139" s="28" t="s">
        <v>215</v>
      </c>
      <c r="B139" s="16" t="s">
        <v>6</v>
      </c>
      <c r="C139" s="29" t="s">
        <v>333</v>
      </c>
      <c r="D139" s="58">
        <f>+D142+D140</f>
        <v>8011735.2000000002</v>
      </c>
      <c r="E139" s="58">
        <f t="shared" ref="E139:F139" si="43">+E142+E140</f>
        <v>8356082</v>
      </c>
      <c r="F139" s="58">
        <f t="shared" si="43"/>
        <v>8715393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91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55.8" customHeight="1" x14ac:dyDescent="0.25">
      <c r="A140" s="28" t="s">
        <v>374</v>
      </c>
      <c r="B140" s="16" t="s">
        <v>6</v>
      </c>
      <c r="C140" s="29" t="s">
        <v>375</v>
      </c>
      <c r="D140" s="58">
        <f>+D141</f>
        <v>151.19999999999999</v>
      </c>
      <c r="E140" s="58">
        <f t="shared" ref="E140:F140" si="44">+E141</f>
        <v>0</v>
      </c>
      <c r="F140" s="58">
        <f t="shared" si="44"/>
        <v>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91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69.599999999999994" customHeight="1" x14ac:dyDescent="0.25">
      <c r="A141" s="95" t="s">
        <v>376</v>
      </c>
      <c r="B141" s="16" t="s">
        <v>80</v>
      </c>
      <c r="C141" s="69" t="s">
        <v>377</v>
      </c>
      <c r="D141" s="58">
        <v>151.19999999999999</v>
      </c>
      <c r="E141" s="58">
        <v>0</v>
      </c>
      <c r="F141" s="58">
        <v>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91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69" customHeight="1" x14ac:dyDescent="0.25">
      <c r="A142" s="28" t="s">
        <v>216</v>
      </c>
      <c r="B142" s="16" t="s">
        <v>6</v>
      </c>
      <c r="C142" s="17" t="s">
        <v>217</v>
      </c>
      <c r="D142" s="58">
        <f>+D143+D144</f>
        <v>8011584</v>
      </c>
      <c r="E142" s="58">
        <f t="shared" ref="E142:F142" si="45">+E143+E144</f>
        <v>8356082</v>
      </c>
      <c r="F142" s="58">
        <f t="shared" si="45"/>
        <v>8715393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91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85.2" customHeight="1" x14ac:dyDescent="0.25">
      <c r="A143" s="28" t="s">
        <v>349</v>
      </c>
      <c r="B143" s="16" t="s">
        <v>78</v>
      </c>
      <c r="C143" s="17" t="s">
        <v>218</v>
      </c>
      <c r="D143" s="58">
        <f>384085-22908</f>
        <v>361177</v>
      </c>
      <c r="E143" s="58">
        <f>399448-22740</f>
        <v>376708</v>
      </c>
      <c r="F143" s="58">
        <f>416624-23718</f>
        <v>392906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91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9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81" customHeight="1" x14ac:dyDescent="0.25">
      <c r="A144" s="28" t="s">
        <v>350</v>
      </c>
      <c r="B144" s="16" t="s">
        <v>78</v>
      </c>
      <c r="C144" s="17" t="s">
        <v>219</v>
      </c>
      <c r="D144" s="58">
        <f>5057659+2592748</f>
        <v>7650407</v>
      </c>
      <c r="E144" s="58">
        <f>5259966+2719408</f>
        <v>7979374</v>
      </c>
      <c r="F144" s="58">
        <f>5486145+2836342</f>
        <v>8322487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91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9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18.600000000000001" customHeight="1" x14ac:dyDescent="0.25">
      <c r="A145" s="80" t="s">
        <v>220</v>
      </c>
      <c r="B145" s="16" t="s">
        <v>6</v>
      </c>
      <c r="C145" s="40" t="s">
        <v>221</v>
      </c>
      <c r="D145" s="58">
        <f>+D146</f>
        <v>2000</v>
      </c>
      <c r="E145" s="58">
        <f t="shared" ref="E145:F146" si="46">+E146</f>
        <v>2000</v>
      </c>
      <c r="F145" s="58">
        <f t="shared" si="46"/>
        <v>2000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91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70.2" customHeight="1" x14ac:dyDescent="0.25">
      <c r="A146" s="28" t="s">
        <v>222</v>
      </c>
      <c r="B146" s="16" t="s">
        <v>6</v>
      </c>
      <c r="C146" s="17" t="s">
        <v>223</v>
      </c>
      <c r="D146" s="58">
        <f>+D147</f>
        <v>2000</v>
      </c>
      <c r="E146" s="58">
        <f t="shared" si="46"/>
        <v>2000</v>
      </c>
      <c r="F146" s="58">
        <f t="shared" si="46"/>
        <v>2000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91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55.8" customHeight="1" x14ac:dyDescent="0.25">
      <c r="A147" s="28" t="s">
        <v>302</v>
      </c>
      <c r="B147" s="16" t="s">
        <v>6</v>
      </c>
      <c r="C147" s="17" t="s">
        <v>225</v>
      </c>
      <c r="D147" s="58">
        <f>+D148</f>
        <v>2000</v>
      </c>
      <c r="E147" s="58">
        <f t="shared" ref="E147:F147" si="47">+E148</f>
        <v>2000</v>
      </c>
      <c r="F147" s="58">
        <f t="shared" si="47"/>
        <v>2000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91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109.2" customHeight="1" x14ac:dyDescent="0.25">
      <c r="A148" s="28" t="s">
        <v>224</v>
      </c>
      <c r="B148" s="16" t="s">
        <v>351</v>
      </c>
      <c r="C148" s="17" t="s">
        <v>226</v>
      </c>
      <c r="D148" s="58">
        <v>2000</v>
      </c>
      <c r="E148" s="58">
        <v>2000</v>
      </c>
      <c r="F148" s="58">
        <v>2000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91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6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15.6" customHeight="1" x14ac:dyDescent="0.25">
      <c r="A149" s="28" t="s">
        <v>227</v>
      </c>
      <c r="B149" s="37" t="s">
        <v>6</v>
      </c>
      <c r="C149" s="38" t="s">
        <v>228</v>
      </c>
      <c r="D149" s="58">
        <f t="shared" ref="D149:F150" si="48">+D150</f>
        <v>646182</v>
      </c>
      <c r="E149" s="58">
        <f t="shared" si="48"/>
        <v>646182</v>
      </c>
      <c r="F149" s="58">
        <f t="shared" si="48"/>
        <v>646182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91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27.6" customHeight="1" x14ac:dyDescent="0.25">
      <c r="A150" s="28" t="s">
        <v>229</v>
      </c>
      <c r="B150" s="37" t="s">
        <v>6</v>
      </c>
      <c r="C150" s="38" t="s">
        <v>230</v>
      </c>
      <c r="D150" s="58">
        <f t="shared" si="48"/>
        <v>646182</v>
      </c>
      <c r="E150" s="58">
        <f t="shared" si="48"/>
        <v>646182</v>
      </c>
      <c r="F150" s="58">
        <f t="shared" si="48"/>
        <v>646182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91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54" customHeight="1" x14ac:dyDescent="0.25">
      <c r="A151" s="28" t="s">
        <v>231</v>
      </c>
      <c r="B151" s="37" t="s">
        <v>80</v>
      </c>
      <c r="C151" s="38" t="s">
        <v>232</v>
      </c>
      <c r="D151" s="58">
        <f>501000+145182</f>
        <v>646182</v>
      </c>
      <c r="E151" s="58">
        <f t="shared" ref="E151:F151" si="49">501000+145182</f>
        <v>646182</v>
      </c>
      <c r="F151" s="58">
        <f t="shared" si="49"/>
        <v>646182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91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97.8" customHeight="1" x14ac:dyDescent="0.25">
      <c r="A152" s="28" t="s">
        <v>379</v>
      </c>
      <c r="B152" s="37" t="s">
        <v>13</v>
      </c>
      <c r="C152" s="38" t="s">
        <v>378</v>
      </c>
      <c r="D152" s="58">
        <v>2000000</v>
      </c>
      <c r="E152" s="58">
        <v>0</v>
      </c>
      <c r="F152" s="58">
        <v>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91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13.8" customHeight="1" x14ac:dyDescent="0.25">
      <c r="A153" s="28" t="s">
        <v>233</v>
      </c>
      <c r="B153" s="16" t="s">
        <v>6</v>
      </c>
      <c r="C153" s="17" t="s">
        <v>234</v>
      </c>
      <c r="D153" s="58">
        <f>+D154+D157</f>
        <v>-1272427.5</v>
      </c>
      <c r="E153" s="58">
        <f t="shared" ref="E153:F153" si="50">+E154+E157</f>
        <v>494902</v>
      </c>
      <c r="F153" s="58">
        <f t="shared" si="50"/>
        <v>315169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91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"/>
      <c r="AN153" s="3"/>
      <c r="AO153" s="3"/>
      <c r="AP153" s="3"/>
      <c r="AQ153" s="3"/>
      <c r="AR153" s="6"/>
      <c r="AS153" s="6"/>
      <c r="AT153" s="3"/>
      <c r="AU153" s="3"/>
      <c r="AV153" s="3"/>
      <c r="AW153" s="3"/>
      <c r="BM153" s="3"/>
      <c r="BN153" s="3"/>
    </row>
    <row r="154" spans="1:66" s="4" customFormat="1" ht="16.2" customHeight="1" x14ac:dyDescent="0.25">
      <c r="A154" s="28" t="s">
        <v>235</v>
      </c>
      <c r="B154" s="16" t="s">
        <v>6</v>
      </c>
      <c r="C154" s="17" t="s">
        <v>236</v>
      </c>
      <c r="D154" s="58">
        <f t="shared" ref="D154:F155" si="51">+D155</f>
        <v>674636</v>
      </c>
      <c r="E154" s="58">
        <f t="shared" si="51"/>
        <v>494902</v>
      </c>
      <c r="F154" s="58">
        <f t="shared" si="51"/>
        <v>315169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91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"/>
      <c r="AN154" s="3"/>
      <c r="AO154" s="3"/>
      <c r="AP154" s="3"/>
      <c r="AQ154" s="3"/>
      <c r="AR154" s="6"/>
      <c r="AS154" s="6"/>
      <c r="AT154" s="3"/>
      <c r="AU154" s="3"/>
      <c r="AV154" s="3"/>
      <c r="AW154" s="3"/>
      <c r="BM154" s="3"/>
      <c r="BN154" s="3"/>
    </row>
    <row r="155" spans="1:66" s="4" customFormat="1" ht="15.6" customHeight="1" x14ac:dyDescent="0.25">
      <c r="A155" s="28" t="s">
        <v>237</v>
      </c>
      <c r="B155" s="16" t="s">
        <v>6</v>
      </c>
      <c r="C155" s="17" t="s">
        <v>238</v>
      </c>
      <c r="D155" s="58">
        <f t="shared" si="51"/>
        <v>674636</v>
      </c>
      <c r="E155" s="58">
        <f t="shared" si="51"/>
        <v>494902</v>
      </c>
      <c r="F155" s="58">
        <f t="shared" si="51"/>
        <v>315169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91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"/>
      <c r="AN155" s="3"/>
      <c r="AO155" s="3"/>
      <c r="AP155" s="3"/>
      <c r="AQ155" s="3"/>
      <c r="AR155" s="6"/>
      <c r="AS155" s="6"/>
      <c r="AT155" s="3"/>
      <c r="AU155" s="3"/>
      <c r="AV155" s="3"/>
      <c r="AW155" s="3"/>
      <c r="BM155" s="3"/>
      <c r="BN155" s="3"/>
    </row>
    <row r="156" spans="1:66" s="4" customFormat="1" ht="31.8" customHeight="1" x14ac:dyDescent="0.25">
      <c r="A156" s="57" t="s">
        <v>239</v>
      </c>
      <c r="B156" s="16" t="s">
        <v>78</v>
      </c>
      <c r="C156" s="17" t="s">
        <v>240</v>
      </c>
      <c r="D156" s="58">
        <v>674636</v>
      </c>
      <c r="E156" s="58">
        <v>494902</v>
      </c>
      <c r="F156" s="58">
        <v>315169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91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"/>
      <c r="AN156" s="3"/>
      <c r="AO156" s="3"/>
      <c r="AP156" s="3"/>
      <c r="AQ156" s="3"/>
      <c r="AR156" s="6"/>
      <c r="AS156" s="6"/>
      <c r="AT156" s="3"/>
      <c r="AU156" s="3"/>
      <c r="AV156" s="3"/>
      <c r="AW156" s="3"/>
      <c r="BM156" s="3"/>
      <c r="BN156" s="3"/>
    </row>
    <row r="157" spans="1:66" s="4" customFormat="1" ht="14.4" customHeight="1" x14ac:dyDescent="0.25">
      <c r="A157" s="57" t="s">
        <v>361</v>
      </c>
      <c r="B157" s="16" t="s">
        <v>6</v>
      </c>
      <c r="C157" s="17" t="s">
        <v>362</v>
      </c>
      <c r="D157" s="58">
        <f>+D158</f>
        <v>-1947063.5</v>
      </c>
      <c r="E157" s="58">
        <f t="shared" ref="E157:F157" si="52">+E158</f>
        <v>0</v>
      </c>
      <c r="F157" s="58">
        <f t="shared" si="52"/>
        <v>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91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"/>
      <c r="AN157" s="3"/>
      <c r="AO157" s="3"/>
      <c r="AP157" s="3"/>
      <c r="AQ157" s="3"/>
      <c r="AR157" s="6"/>
      <c r="AS157" s="6"/>
      <c r="AT157" s="3"/>
      <c r="AU157" s="3"/>
      <c r="AV157" s="3"/>
      <c r="AW157" s="3"/>
      <c r="BM157" s="3"/>
      <c r="BN157" s="3"/>
    </row>
    <row r="158" spans="1:66" s="4" customFormat="1" ht="29.4" customHeight="1" x14ac:dyDescent="0.25">
      <c r="A158" s="57" t="s">
        <v>363</v>
      </c>
      <c r="B158" s="16" t="s">
        <v>6</v>
      </c>
      <c r="C158" s="17" t="s">
        <v>364</v>
      </c>
      <c r="D158" s="58">
        <f>+D159+D160+D161+D162+D163+D164+D165+D166+D167</f>
        <v>-1947063.5</v>
      </c>
      <c r="E158" s="58">
        <f t="shared" ref="E158:F158" si="53">+E159+E160+E161+E162+E163+E164+E165+E166+E167</f>
        <v>0</v>
      </c>
      <c r="F158" s="58">
        <f t="shared" si="53"/>
        <v>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91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"/>
      <c r="AN158" s="3"/>
      <c r="AO158" s="3"/>
      <c r="AP158" s="3"/>
      <c r="AQ158" s="3"/>
      <c r="AR158" s="6"/>
      <c r="AS158" s="6"/>
      <c r="AT158" s="3"/>
      <c r="AU158" s="3"/>
      <c r="AV158" s="3"/>
      <c r="AW158" s="3"/>
      <c r="BM158" s="3"/>
      <c r="BN158" s="3"/>
    </row>
    <row r="159" spans="1:66" s="4" customFormat="1" ht="27.6" customHeight="1" x14ac:dyDescent="0.25">
      <c r="A159" s="95" t="s">
        <v>365</v>
      </c>
      <c r="B159" s="16" t="s">
        <v>213</v>
      </c>
      <c r="C159" s="121" t="s">
        <v>436</v>
      </c>
      <c r="D159" s="58">
        <v>-225000</v>
      </c>
      <c r="E159" s="58">
        <v>0</v>
      </c>
      <c r="F159" s="58">
        <v>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91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6"/>
      <c r="AS159" s="6"/>
      <c r="AT159" s="3"/>
      <c r="AU159" s="3"/>
      <c r="AV159" s="3"/>
      <c r="AW159" s="3"/>
      <c r="BM159" s="3"/>
      <c r="BN159" s="3"/>
    </row>
    <row r="160" spans="1:66" s="4" customFormat="1" ht="58.8" customHeight="1" x14ac:dyDescent="0.25">
      <c r="A160" s="95" t="s">
        <v>366</v>
      </c>
      <c r="B160" s="16" t="s">
        <v>213</v>
      </c>
      <c r="C160" s="121" t="s">
        <v>437</v>
      </c>
      <c r="D160" s="58">
        <v>-220000</v>
      </c>
      <c r="E160" s="58">
        <v>0</v>
      </c>
      <c r="F160" s="58">
        <v>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91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"/>
      <c r="AN160" s="3"/>
      <c r="AO160" s="3"/>
      <c r="AP160" s="3"/>
      <c r="AQ160" s="3"/>
      <c r="AR160" s="6"/>
      <c r="AS160" s="6"/>
      <c r="AT160" s="3"/>
      <c r="AU160" s="3"/>
      <c r="AV160" s="3"/>
      <c r="AW160" s="3"/>
      <c r="BM160" s="3"/>
      <c r="BN160" s="3"/>
    </row>
    <row r="161" spans="1:66" s="4" customFormat="1" ht="42" customHeight="1" x14ac:dyDescent="0.25">
      <c r="A161" s="95" t="s">
        <v>367</v>
      </c>
      <c r="B161" s="16" t="s">
        <v>213</v>
      </c>
      <c r="C161" s="121" t="s">
        <v>438</v>
      </c>
      <c r="D161" s="58">
        <f>-100000-100328.5</f>
        <v>-200328.5</v>
      </c>
      <c r="E161" s="58">
        <v>0</v>
      </c>
      <c r="F161" s="58">
        <v>0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91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6"/>
      <c r="AS161" s="6"/>
      <c r="AT161" s="3"/>
      <c r="AU161" s="3"/>
      <c r="AV161" s="3"/>
      <c r="AW161" s="3"/>
      <c r="BM161" s="3"/>
      <c r="BN161" s="3"/>
    </row>
    <row r="162" spans="1:66" s="4" customFormat="1" ht="69.599999999999994" customHeight="1" x14ac:dyDescent="0.25">
      <c r="A162" s="95" t="s">
        <v>368</v>
      </c>
      <c r="B162" s="16" t="s">
        <v>213</v>
      </c>
      <c r="C162" s="121" t="s">
        <v>439</v>
      </c>
      <c r="D162" s="58">
        <v>-224719</v>
      </c>
      <c r="E162" s="58">
        <v>0</v>
      </c>
      <c r="F162" s="58">
        <v>0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91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6"/>
      <c r="AS162" s="6"/>
      <c r="AT162" s="3"/>
      <c r="AU162" s="3"/>
      <c r="AV162" s="3"/>
      <c r="AW162" s="3"/>
      <c r="BM162" s="3"/>
      <c r="BN162" s="3"/>
    </row>
    <row r="163" spans="1:66" s="4" customFormat="1" ht="72" customHeight="1" x14ac:dyDescent="0.25">
      <c r="A163" s="95" t="s">
        <v>369</v>
      </c>
      <c r="B163" s="16" t="s">
        <v>213</v>
      </c>
      <c r="C163" s="121" t="s">
        <v>440</v>
      </c>
      <c r="D163" s="58">
        <v>-224719</v>
      </c>
      <c r="E163" s="58">
        <v>0</v>
      </c>
      <c r="F163" s="58">
        <v>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91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6"/>
      <c r="AS163" s="6"/>
      <c r="AT163" s="3"/>
      <c r="AU163" s="3"/>
      <c r="AV163" s="3"/>
      <c r="AW163" s="3"/>
      <c r="BM163" s="3"/>
      <c r="BN163" s="3"/>
    </row>
    <row r="164" spans="1:66" s="4" customFormat="1" ht="72" customHeight="1" x14ac:dyDescent="0.25">
      <c r="A164" s="95" t="s">
        <v>370</v>
      </c>
      <c r="B164" s="16" t="s">
        <v>213</v>
      </c>
      <c r="C164" s="121" t="s">
        <v>441</v>
      </c>
      <c r="D164" s="58">
        <v>-178140</v>
      </c>
      <c r="E164" s="58">
        <v>0</v>
      </c>
      <c r="F164" s="58">
        <v>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91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6"/>
      <c r="AS164" s="6"/>
      <c r="AT164" s="3"/>
      <c r="AU164" s="3"/>
      <c r="AV164" s="3"/>
      <c r="AW164" s="3"/>
      <c r="BM164" s="3"/>
      <c r="BN164" s="3"/>
    </row>
    <row r="165" spans="1:66" s="4" customFormat="1" ht="43.8" customHeight="1" x14ac:dyDescent="0.25">
      <c r="A165" s="95" t="s">
        <v>371</v>
      </c>
      <c r="B165" s="16" t="s">
        <v>213</v>
      </c>
      <c r="C165" s="121" t="s">
        <v>442</v>
      </c>
      <c r="D165" s="58">
        <v>-224719</v>
      </c>
      <c r="E165" s="58">
        <v>0</v>
      </c>
      <c r="F165" s="58">
        <v>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91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6"/>
      <c r="AS165" s="6"/>
      <c r="AT165" s="3"/>
      <c r="AU165" s="3"/>
      <c r="AV165" s="3"/>
      <c r="AW165" s="3"/>
      <c r="BM165" s="3"/>
      <c r="BN165" s="3"/>
    </row>
    <row r="166" spans="1:66" s="4" customFormat="1" ht="40.799999999999997" customHeight="1" x14ac:dyDescent="0.25">
      <c r="A166" s="95" t="s">
        <v>372</v>
      </c>
      <c r="B166" s="16" t="s">
        <v>213</v>
      </c>
      <c r="C166" s="121" t="s">
        <v>443</v>
      </c>
      <c r="D166" s="58">
        <v>-224719</v>
      </c>
      <c r="E166" s="58">
        <v>0</v>
      </c>
      <c r="F166" s="58"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91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6"/>
      <c r="AS166" s="6"/>
      <c r="AT166" s="3"/>
      <c r="AU166" s="3"/>
      <c r="AV166" s="3"/>
      <c r="AW166" s="3"/>
      <c r="BM166" s="3"/>
      <c r="BN166" s="3"/>
    </row>
    <row r="167" spans="1:66" s="4" customFormat="1" ht="42.6" customHeight="1" x14ac:dyDescent="0.25">
      <c r="A167" s="95" t="s">
        <v>373</v>
      </c>
      <c r="B167" s="16" t="s">
        <v>213</v>
      </c>
      <c r="C167" s="121" t="s">
        <v>444</v>
      </c>
      <c r="D167" s="58">
        <v>-224719</v>
      </c>
      <c r="E167" s="58">
        <v>0</v>
      </c>
      <c r="F167" s="58"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91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6"/>
      <c r="AS167" s="6"/>
      <c r="AT167" s="3"/>
      <c r="AU167" s="3"/>
      <c r="AV167" s="3"/>
      <c r="AW167" s="3"/>
      <c r="BM167" s="3"/>
      <c r="BN167" s="3"/>
    </row>
    <row r="168" spans="1:66" s="4" customFormat="1" ht="15" customHeight="1" x14ac:dyDescent="0.25">
      <c r="A168" s="57" t="s">
        <v>241</v>
      </c>
      <c r="B168" s="16" t="s">
        <v>6</v>
      </c>
      <c r="C168" s="17" t="s">
        <v>242</v>
      </c>
      <c r="D168" s="58">
        <f>+D169+D232+D239</f>
        <v>2891940964.5299997</v>
      </c>
      <c r="E168" s="58">
        <f t="shared" ref="E168:F168" si="54">+E169</f>
        <v>2553427380</v>
      </c>
      <c r="F168" s="58">
        <f t="shared" si="54"/>
        <v>2289053400</v>
      </c>
      <c r="G168" s="3"/>
      <c r="H168" s="25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91"/>
      <c r="W168" s="3"/>
      <c r="X168" s="3"/>
      <c r="Y168" s="3"/>
      <c r="Z168" s="3"/>
      <c r="AB168" s="12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6"/>
      <c r="AS168" s="6"/>
      <c r="AT168" s="3"/>
      <c r="AU168" s="3"/>
      <c r="AV168" s="3"/>
      <c r="AW168" s="3"/>
      <c r="BM168" s="3"/>
      <c r="BN168" s="3"/>
    </row>
    <row r="169" spans="1:66" s="4" customFormat="1" ht="29.4" customHeight="1" x14ac:dyDescent="0.25">
      <c r="A169" s="81" t="s">
        <v>243</v>
      </c>
      <c r="B169" s="16" t="s">
        <v>6</v>
      </c>
      <c r="C169" s="17" t="s">
        <v>244</v>
      </c>
      <c r="D169" s="58">
        <f>+D207+D170+D175+D227</f>
        <v>2891958257.5999999</v>
      </c>
      <c r="E169" s="58">
        <f t="shared" ref="E169:F169" si="55">+E207+E170+E175+E227</f>
        <v>2553427380</v>
      </c>
      <c r="F169" s="58">
        <f t="shared" si="55"/>
        <v>2289053400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91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6"/>
      <c r="AS169" s="6"/>
      <c r="AT169" s="3"/>
      <c r="AU169" s="3"/>
      <c r="AV169" s="3"/>
      <c r="AW169" s="3"/>
      <c r="BM169" s="3"/>
      <c r="BN169" s="3"/>
    </row>
    <row r="170" spans="1:66" s="4" customFormat="1" ht="15.6" customHeight="1" x14ac:dyDescent="0.25">
      <c r="A170" s="81" t="s">
        <v>245</v>
      </c>
      <c r="B170" s="16" t="s">
        <v>6</v>
      </c>
      <c r="C170" s="17" t="s">
        <v>246</v>
      </c>
      <c r="D170" s="58">
        <f>+D171+D173</f>
        <v>149435200</v>
      </c>
      <c r="E170" s="58">
        <f t="shared" ref="E170:F170" si="56">+E171+E173</f>
        <v>46225700</v>
      </c>
      <c r="F170" s="58">
        <f t="shared" si="56"/>
        <v>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91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"/>
      <c r="AN170" s="3"/>
      <c r="AO170" s="3"/>
      <c r="AP170" s="3"/>
      <c r="AQ170" s="3"/>
      <c r="AR170" s="6"/>
      <c r="AS170" s="6"/>
      <c r="AT170" s="3"/>
      <c r="AU170" s="3"/>
      <c r="AV170" s="3"/>
      <c r="AW170" s="3"/>
      <c r="BM170" s="3"/>
      <c r="BN170" s="3"/>
    </row>
    <row r="171" spans="1:66" s="4" customFormat="1" ht="19.8" customHeight="1" x14ac:dyDescent="0.25">
      <c r="A171" s="82" t="s">
        <v>247</v>
      </c>
      <c r="B171" s="16" t="s">
        <v>6</v>
      </c>
      <c r="C171" s="29" t="s">
        <v>248</v>
      </c>
      <c r="D171" s="58">
        <f>+D172</f>
        <v>44904800</v>
      </c>
      <c r="E171" s="58">
        <f t="shared" ref="E171:F171" si="57">+E172</f>
        <v>46225700</v>
      </c>
      <c r="F171" s="58">
        <f t="shared" si="57"/>
        <v>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91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6"/>
      <c r="AS171" s="6"/>
      <c r="AT171" s="3"/>
      <c r="AU171" s="3"/>
      <c r="AV171" s="3"/>
      <c r="AW171" s="3"/>
      <c r="BM171" s="3"/>
      <c r="BN171" s="3"/>
    </row>
    <row r="172" spans="1:66" s="4" customFormat="1" ht="44.4" customHeight="1" x14ac:dyDescent="0.25">
      <c r="A172" s="82" t="s">
        <v>249</v>
      </c>
      <c r="B172" s="16" t="s">
        <v>250</v>
      </c>
      <c r="C172" s="17" t="s">
        <v>251</v>
      </c>
      <c r="D172" s="58">
        <v>44904800</v>
      </c>
      <c r="E172" s="58">
        <v>46225700</v>
      </c>
      <c r="F172" s="58">
        <v>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91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6"/>
      <c r="AS172" s="6"/>
      <c r="AT172" s="3"/>
      <c r="AU172" s="3"/>
      <c r="AV172" s="3"/>
      <c r="AW172" s="3"/>
      <c r="BM172" s="3"/>
      <c r="BN172" s="3"/>
    </row>
    <row r="173" spans="1:66" s="4" customFormat="1" ht="31.8" customHeight="1" x14ac:dyDescent="0.25">
      <c r="A173" s="28" t="s">
        <v>401</v>
      </c>
      <c r="B173" s="16" t="s">
        <v>6</v>
      </c>
      <c r="C173" s="69" t="s">
        <v>403</v>
      </c>
      <c r="D173" s="58">
        <f>+D174</f>
        <v>104530400</v>
      </c>
      <c r="E173" s="58">
        <f t="shared" ref="E173:F173" si="58">+E174</f>
        <v>0</v>
      </c>
      <c r="F173" s="58">
        <f t="shared" si="58"/>
        <v>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91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6"/>
      <c r="AS173" s="6"/>
      <c r="AT173" s="3"/>
      <c r="AU173" s="3"/>
      <c r="AV173" s="3"/>
      <c r="AW173" s="3"/>
      <c r="BM173" s="3"/>
      <c r="BN173" s="3"/>
    </row>
    <row r="174" spans="1:66" s="4" customFormat="1" ht="31.2" customHeight="1" x14ac:dyDescent="0.25">
      <c r="A174" s="82" t="s">
        <v>401</v>
      </c>
      <c r="B174" s="16" t="s">
        <v>250</v>
      </c>
      <c r="C174" s="17" t="s">
        <v>402</v>
      </c>
      <c r="D174" s="58">
        <v>104530400</v>
      </c>
      <c r="E174" s="58">
        <v>0</v>
      </c>
      <c r="F174" s="58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91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6"/>
      <c r="AS174" s="6"/>
      <c r="AT174" s="3"/>
      <c r="AU174" s="3"/>
      <c r="AV174" s="3"/>
      <c r="AW174" s="3"/>
      <c r="BM174" s="3"/>
      <c r="BN174" s="3"/>
    </row>
    <row r="175" spans="1:66" s="4" customFormat="1" ht="31.2" customHeight="1" x14ac:dyDescent="0.25">
      <c r="A175" s="57" t="s">
        <v>252</v>
      </c>
      <c r="B175" s="16" t="s">
        <v>6</v>
      </c>
      <c r="C175" s="16" t="s">
        <v>253</v>
      </c>
      <c r="D175" s="58">
        <f>+D178+D190+D176+D182+D188+D184+D186+D180</f>
        <v>703757957.60000002</v>
      </c>
      <c r="E175" s="58">
        <f t="shared" ref="E175:F175" si="59">+E178+E190+E176+E182+E188</f>
        <v>601686480</v>
      </c>
      <c r="F175" s="58">
        <f t="shared" si="59"/>
        <v>383538400</v>
      </c>
      <c r="G175" s="3"/>
      <c r="H175" s="25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91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6"/>
      <c r="AS175" s="6"/>
      <c r="AT175" s="3"/>
      <c r="AU175" s="3"/>
      <c r="AV175" s="3"/>
      <c r="AW175" s="3"/>
      <c r="BM175" s="3"/>
      <c r="BN175" s="3"/>
    </row>
    <row r="176" spans="1:66" s="4" customFormat="1" ht="57" customHeight="1" x14ac:dyDescent="0.25">
      <c r="A176" s="97" t="s">
        <v>254</v>
      </c>
      <c r="B176" s="70" t="s">
        <v>6</v>
      </c>
      <c r="C176" s="70" t="s">
        <v>255</v>
      </c>
      <c r="D176" s="58">
        <f t="shared" ref="D176:F176" si="60">+D177</f>
        <v>56916500</v>
      </c>
      <c r="E176" s="58">
        <f t="shared" si="60"/>
        <v>58013200</v>
      </c>
      <c r="F176" s="58">
        <f t="shared" si="60"/>
        <v>56526400</v>
      </c>
      <c r="G176" s="3"/>
      <c r="H176" s="25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91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6"/>
      <c r="AS176" s="6"/>
      <c r="AT176" s="3"/>
      <c r="AU176" s="3"/>
      <c r="AV176" s="3"/>
      <c r="AW176" s="3"/>
      <c r="BM176" s="3"/>
      <c r="BN176" s="3"/>
    </row>
    <row r="177" spans="1:67" s="4" customFormat="1" ht="55.95" customHeight="1" x14ac:dyDescent="0.25">
      <c r="A177" s="97" t="s">
        <v>256</v>
      </c>
      <c r="B177" s="70" t="s">
        <v>257</v>
      </c>
      <c r="C177" s="70" t="s">
        <v>258</v>
      </c>
      <c r="D177" s="58">
        <f>57764900-848400</f>
        <v>56916500</v>
      </c>
      <c r="E177" s="58">
        <f>57915600+97600</f>
        <v>58013200</v>
      </c>
      <c r="F177" s="58">
        <f>56431200+95200</f>
        <v>56526400</v>
      </c>
      <c r="G177" s="3"/>
      <c r="H177" s="25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91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6"/>
      <c r="AS177" s="6"/>
      <c r="AT177" s="3"/>
      <c r="AU177" s="3"/>
      <c r="AV177" s="3"/>
      <c r="AW177" s="3"/>
      <c r="BM177" s="3"/>
      <c r="BN177" s="3"/>
    </row>
    <row r="178" spans="1:67" s="4" customFormat="1" ht="56.4" customHeight="1" x14ac:dyDescent="0.25">
      <c r="A178" s="98" t="s">
        <v>259</v>
      </c>
      <c r="B178" s="37" t="s">
        <v>6</v>
      </c>
      <c r="C178" s="37" t="s">
        <v>260</v>
      </c>
      <c r="D178" s="58">
        <f>D179</f>
        <v>2783996.86</v>
      </c>
      <c r="E178" s="58">
        <f>E179</f>
        <v>2821900</v>
      </c>
      <c r="F178" s="58">
        <f>F179</f>
        <v>4759000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91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6"/>
      <c r="AS178" s="6"/>
      <c r="AT178" s="3"/>
      <c r="AU178" s="3"/>
      <c r="AV178" s="3"/>
      <c r="AW178" s="3"/>
      <c r="BM178" s="3"/>
      <c r="BN178" s="3"/>
    </row>
    <row r="179" spans="1:67" s="4" customFormat="1" ht="55.2" customHeight="1" x14ac:dyDescent="0.25">
      <c r="A179" s="98" t="s">
        <v>261</v>
      </c>
      <c r="B179" s="16" t="s">
        <v>262</v>
      </c>
      <c r="C179" s="16" t="s">
        <v>263</v>
      </c>
      <c r="D179" s="58">
        <f>2784000-3.14</f>
        <v>2783996.86</v>
      </c>
      <c r="E179" s="58">
        <v>2821900</v>
      </c>
      <c r="F179" s="58">
        <v>4759000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91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6"/>
      <c r="AS179" s="6"/>
      <c r="AT179" s="3"/>
      <c r="AU179" s="3"/>
      <c r="AV179" s="3"/>
      <c r="AW179" s="3"/>
      <c r="BM179" s="3"/>
      <c r="BN179" s="3"/>
    </row>
    <row r="180" spans="1:67" s="4" customFormat="1" ht="26.4" x14ac:dyDescent="0.25">
      <c r="A180" s="98" t="s">
        <v>418</v>
      </c>
      <c r="B180" s="16" t="s">
        <v>6</v>
      </c>
      <c r="C180" s="16" t="s">
        <v>419</v>
      </c>
      <c r="D180" s="58">
        <f>+D181</f>
        <v>17274741.66</v>
      </c>
      <c r="E180" s="58">
        <f t="shared" ref="E180:F180" si="61">+E181</f>
        <v>0</v>
      </c>
      <c r="F180" s="58">
        <f t="shared" si="61"/>
        <v>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91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6"/>
      <c r="AS180" s="6"/>
      <c r="AT180" s="3"/>
      <c r="AU180" s="3"/>
      <c r="AV180" s="3"/>
      <c r="AW180" s="3"/>
      <c r="BM180" s="3"/>
      <c r="BN180" s="3"/>
    </row>
    <row r="181" spans="1:67" s="4" customFormat="1" ht="26.4" x14ac:dyDescent="0.25">
      <c r="A181" s="98" t="s">
        <v>416</v>
      </c>
      <c r="B181" s="16" t="s">
        <v>272</v>
      </c>
      <c r="C181" s="16" t="s">
        <v>417</v>
      </c>
      <c r="D181" s="58">
        <v>17274741.66</v>
      </c>
      <c r="E181" s="58">
        <v>0</v>
      </c>
      <c r="F181" s="58"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91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6"/>
      <c r="AS181" s="6"/>
      <c r="AT181" s="3"/>
      <c r="AU181" s="3"/>
      <c r="AV181" s="3"/>
      <c r="AW181" s="3"/>
      <c r="BM181" s="3"/>
      <c r="BN181" s="3"/>
    </row>
    <row r="182" spans="1:67" s="4" customFormat="1" ht="17.399999999999999" customHeight="1" x14ac:dyDescent="0.25">
      <c r="A182" s="98" t="s">
        <v>327</v>
      </c>
      <c r="B182" s="16" t="s">
        <v>6</v>
      </c>
      <c r="C182" s="16" t="s">
        <v>328</v>
      </c>
      <c r="D182" s="58">
        <f t="shared" ref="D182:F182" si="62">+D183</f>
        <v>444780</v>
      </c>
      <c r="E182" s="58">
        <f t="shared" si="62"/>
        <v>444780</v>
      </c>
      <c r="F182" s="58">
        <f t="shared" si="62"/>
        <v>445300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91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6"/>
      <c r="AS182" s="6"/>
      <c r="AT182" s="3"/>
      <c r="AU182" s="3"/>
      <c r="AV182" s="3"/>
      <c r="AW182" s="3"/>
      <c r="BM182" s="3"/>
      <c r="BN182" s="3"/>
    </row>
    <row r="183" spans="1:67" s="4" customFormat="1" ht="31.2" customHeight="1" x14ac:dyDescent="0.25">
      <c r="A183" s="98" t="s">
        <v>330</v>
      </c>
      <c r="B183" s="16" t="s">
        <v>262</v>
      </c>
      <c r="C183" s="16" t="s">
        <v>329</v>
      </c>
      <c r="D183" s="58">
        <f>444800-20</f>
        <v>444780</v>
      </c>
      <c r="E183" s="58">
        <f>444800-20</f>
        <v>444780</v>
      </c>
      <c r="F183" s="58">
        <v>445300</v>
      </c>
      <c r="G183" s="25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91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6"/>
      <c r="AS183" s="6"/>
      <c r="AT183" s="3"/>
      <c r="AU183" s="3"/>
      <c r="AV183" s="3"/>
      <c r="AW183" s="3"/>
      <c r="BM183" s="3"/>
      <c r="BN183" s="3"/>
    </row>
    <row r="184" spans="1:67" s="4" customFormat="1" ht="31.2" customHeight="1" x14ac:dyDescent="0.25">
      <c r="A184" s="98" t="s">
        <v>408</v>
      </c>
      <c r="B184" s="16" t="s">
        <v>6</v>
      </c>
      <c r="C184" s="16" t="s">
        <v>409</v>
      </c>
      <c r="D184" s="58">
        <f>+D185</f>
        <v>39167200</v>
      </c>
      <c r="E184" s="58">
        <f t="shared" ref="E184:F184" si="63">+E185</f>
        <v>0</v>
      </c>
      <c r="F184" s="58">
        <f t="shared" si="63"/>
        <v>0</v>
      </c>
      <c r="G184" s="25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91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6"/>
      <c r="AS184" s="6"/>
      <c r="AT184" s="3"/>
      <c r="AU184" s="3"/>
      <c r="AV184" s="3"/>
      <c r="AW184" s="3"/>
      <c r="BM184" s="3"/>
      <c r="BN184" s="3"/>
    </row>
    <row r="185" spans="1:67" s="4" customFormat="1" ht="31.2" customHeight="1" x14ac:dyDescent="0.25">
      <c r="A185" s="98" t="s">
        <v>406</v>
      </c>
      <c r="B185" s="16" t="s">
        <v>80</v>
      </c>
      <c r="C185" s="16" t="s">
        <v>407</v>
      </c>
      <c r="D185" s="58">
        <v>39167200</v>
      </c>
      <c r="E185" s="58">
        <v>0</v>
      </c>
      <c r="F185" s="58">
        <v>0</v>
      </c>
      <c r="G185" s="25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91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6"/>
      <c r="AS185" s="6"/>
      <c r="AT185" s="3"/>
      <c r="AU185" s="3"/>
      <c r="AV185" s="3"/>
      <c r="AW185" s="3"/>
      <c r="BM185" s="3"/>
      <c r="BN185" s="3"/>
    </row>
    <row r="186" spans="1:67" s="4" customFormat="1" ht="31.2" customHeight="1" x14ac:dyDescent="0.25">
      <c r="A186" s="98" t="s">
        <v>413</v>
      </c>
      <c r="B186" s="16" t="s">
        <v>6</v>
      </c>
      <c r="C186" s="16" t="s">
        <v>414</v>
      </c>
      <c r="D186" s="58">
        <f>+D187</f>
        <v>4832296.28</v>
      </c>
      <c r="E186" s="58">
        <f t="shared" ref="E186:F186" si="64">+E187</f>
        <v>0</v>
      </c>
      <c r="F186" s="58">
        <f t="shared" si="64"/>
        <v>0</v>
      </c>
      <c r="G186" s="25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91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7" s="4" customFormat="1" ht="31.2" customHeight="1" x14ac:dyDescent="0.25">
      <c r="A187" s="98" t="s">
        <v>411</v>
      </c>
      <c r="B187" s="16" t="s">
        <v>262</v>
      </c>
      <c r="C187" s="16" t="s">
        <v>412</v>
      </c>
      <c r="D187" s="58">
        <v>4832296.28</v>
      </c>
      <c r="E187" s="58">
        <v>0</v>
      </c>
      <c r="F187" s="58">
        <v>0</v>
      </c>
      <c r="G187" s="25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91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7" s="4" customFormat="1" ht="31.2" customHeight="1" x14ac:dyDescent="0.25">
      <c r="A188" s="98" t="s">
        <v>358</v>
      </c>
      <c r="B188" s="16" t="s">
        <v>6</v>
      </c>
      <c r="C188" s="16" t="s">
        <v>359</v>
      </c>
      <c r="D188" s="58">
        <f>+D189</f>
        <v>117542700</v>
      </c>
      <c r="E188" s="58">
        <f t="shared" ref="E188:F188" si="65">+E189</f>
        <v>0</v>
      </c>
      <c r="F188" s="58">
        <f t="shared" si="65"/>
        <v>0</v>
      </c>
      <c r="G188" s="25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91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7" s="4" customFormat="1" ht="33.6" customHeight="1" x14ac:dyDescent="0.25">
      <c r="A189" s="98" t="s">
        <v>356</v>
      </c>
      <c r="B189" s="16" t="s">
        <v>257</v>
      </c>
      <c r="C189" s="16" t="s">
        <v>357</v>
      </c>
      <c r="D189" s="58">
        <v>117542700</v>
      </c>
      <c r="E189" s="58">
        <v>0</v>
      </c>
      <c r="F189" s="58">
        <v>0</v>
      </c>
      <c r="G189" s="25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91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7" s="4" customFormat="1" ht="15.6" customHeight="1" x14ac:dyDescent="0.25">
      <c r="A190" s="57" t="s">
        <v>264</v>
      </c>
      <c r="B190" s="16" t="s">
        <v>6</v>
      </c>
      <c r="C190" s="33" t="s">
        <v>265</v>
      </c>
      <c r="D190" s="58">
        <f>+D191</f>
        <v>464795742.80000001</v>
      </c>
      <c r="E190" s="58">
        <f>+E191</f>
        <v>540406600</v>
      </c>
      <c r="F190" s="58">
        <f>+F191</f>
        <v>321807700</v>
      </c>
      <c r="G190" s="3"/>
      <c r="H190" s="25"/>
      <c r="I190" s="25"/>
      <c r="J190" s="25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91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7" s="4" customFormat="1" ht="18" customHeight="1" x14ac:dyDescent="0.25">
      <c r="A191" s="57" t="s">
        <v>266</v>
      </c>
      <c r="B191" s="16" t="s">
        <v>6</v>
      </c>
      <c r="C191" s="33" t="s">
        <v>267</v>
      </c>
      <c r="D191" s="58">
        <f>+D192+D193+D194+D195+D196+D197+D198+D199+D200+D201+D202+D203+D204+D205+D206</f>
        <v>464795742.80000001</v>
      </c>
      <c r="E191" s="58">
        <f t="shared" ref="E191:F191" si="66">+E192+E193+E194+E195+E196+E197+E198+E199+E200+E201+E202+E203+E204+E205+E206</f>
        <v>540406600</v>
      </c>
      <c r="F191" s="58">
        <f t="shared" si="66"/>
        <v>321807700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91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7" s="4" customFormat="1" ht="58.8" customHeight="1" x14ac:dyDescent="0.25">
      <c r="A192" s="28" t="s">
        <v>335</v>
      </c>
      <c r="B192" s="16" t="s">
        <v>262</v>
      </c>
      <c r="C192" s="33" t="s">
        <v>267</v>
      </c>
      <c r="D192" s="58">
        <f>90044700-25000000</f>
        <v>65044700</v>
      </c>
      <c r="E192" s="58">
        <f>90044700+77163900</f>
        <v>167208600</v>
      </c>
      <c r="F192" s="58">
        <v>0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91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  <c r="BO192" s="65"/>
    </row>
    <row r="193" spans="1:67" s="4" customFormat="1" ht="44.4" customHeight="1" x14ac:dyDescent="0.25">
      <c r="A193" s="28" t="s">
        <v>410</v>
      </c>
      <c r="B193" s="16" t="s">
        <v>262</v>
      </c>
      <c r="C193" s="33" t="s">
        <v>267</v>
      </c>
      <c r="D193" s="58">
        <v>658040</v>
      </c>
      <c r="E193" s="58">
        <v>0</v>
      </c>
      <c r="F193" s="58">
        <v>0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91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  <c r="BO193" s="65"/>
    </row>
    <row r="194" spans="1:67" s="4" customFormat="1" ht="69.599999999999994" customHeight="1" x14ac:dyDescent="0.25">
      <c r="A194" s="79" t="s">
        <v>353</v>
      </c>
      <c r="B194" s="16" t="s">
        <v>257</v>
      </c>
      <c r="C194" s="33" t="s">
        <v>267</v>
      </c>
      <c r="D194" s="61">
        <v>6953500</v>
      </c>
      <c r="E194" s="61">
        <v>24928400</v>
      </c>
      <c r="F194" s="61">
        <v>0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91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BM194" s="3"/>
      <c r="BN194" s="3"/>
    </row>
    <row r="195" spans="1:67" s="4" customFormat="1" ht="69.599999999999994" customHeight="1" x14ac:dyDescent="0.25">
      <c r="A195" s="79" t="s">
        <v>268</v>
      </c>
      <c r="B195" s="16" t="s">
        <v>257</v>
      </c>
      <c r="C195" s="33" t="s">
        <v>267</v>
      </c>
      <c r="D195" s="58">
        <f>2603200+347100</f>
        <v>2950300</v>
      </c>
      <c r="E195" s="58">
        <v>2603200</v>
      </c>
      <c r="F195" s="58">
        <v>2632500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91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7" s="4" customFormat="1" ht="69" customHeight="1" x14ac:dyDescent="0.25">
      <c r="A196" s="28" t="s">
        <v>269</v>
      </c>
      <c r="B196" s="16" t="s">
        <v>257</v>
      </c>
      <c r="C196" s="33" t="s">
        <v>267</v>
      </c>
      <c r="D196" s="58">
        <f>10850300+1725900</f>
        <v>12576200</v>
      </c>
      <c r="E196" s="58">
        <f>10578500+1704100</f>
        <v>12282600</v>
      </c>
      <c r="F196" s="58">
        <f>10377400+1697000</f>
        <v>12074400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91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7" s="4" customFormat="1" ht="55.95" customHeight="1" x14ac:dyDescent="0.25">
      <c r="A197" s="28" t="s">
        <v>270</v>
      </c>
      <c r="B197" s="16" t="s">
        <v>257</v>
      </c>
      <c r="C197" s="33" t="s">
        <v>267</v>
      </c>
      <c r="D197" s="58">
        <f>5036300-73400</f>
        <v>4962900</v>
      </c>
      <c r="E197" s="58">
        <f>7601900-110700</f>
        <v>7491200</v>
      </c>
      <c r="F197" s="58">
        <f>7677500-110200</f>
        <v>7567300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91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7" s="4" customFormat="1" ht="41.4" customHeight="1" x14ac:dyDescent="0.25">
      <c r="A198" s="56" t="s">
        <v>355</v>
      </c>
      <c r="B198" s="16" t="s">
        <v>257</v>
      </c>
      <c r="C198" s="33" t="s">
        <v>267</v>
      </c>
      <c r="D198" s="58">
        <v>15000000</v>
      </c>
      <c r="E198" s="58">
        <v>23768600</v>
      </c>
      <c r="F198" s="58">
        <v>0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91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7" s="4" customFormat="1" ht="85.8" customHeight="1" x14ac:dyDescent="0.25">
      <c r="A199" s="56" t="s">
        <v>405</v>
      </c>
      <c r="B199" s="16" t="s">
        <v>257</v>
      </c>
      <c r="C199" s="33" t="s">
        <v>267</v>
      </c>
      <c r="D199" s="58">
        <v>1145689</v>
      </c>
      <c r="E199" s="58">
        <v>0</v>
      </c>
      <c r="F199" s="58">
        <v>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91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</row>
    <row r="200" spans="1:67" s="4" customFormat="1" ht="95.4" customHeight="1" x14ac:dyDescent="0.25">
      <c r="A200" s="56" t="s">
        <v>420</v>
      </c>
      <c r="B200" s="16" t="s">
        <v>257</v>
      </c>
      <c r="C200" s="33" t="s">
        <v>267</v>
      </c>
      <c r="D200" s="58">
        <v>4158300</v>
      </c>
      <c r="E200" s="58">
        <v>4158300</v>
      </c>
      <c r="F200" s="58">
        <v>4205100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91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7" s="4" customFormat="1" ht="139.80000000000001" customHeight="1" x14ac:dyDescent="0.25">
      <c r="A201" s="99" t="s">
        <v>334</v>
      </c>
      <c r="B201" s="16" t="s">
        <v>250</v>
      </c>
      <c r="C201" s="33" t="s">
        <v>267</v>
      </c>
      <c r="D201" s="58">
        <v>182080400</v>
      </c>
      <c r="E201" s="58">
        <v>182890800</v>
      </c>
      <c r="F201" s="58">
        <v>182907500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91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7" s="4" customFormat="1" ht="58.2" customHeight="1" x14ac:dyDescent="0.25">
      <c r="A202" s="100" t="s">
        <v>271</v>
      </c>
      <c r="B202" s="16" t="s">
        <v>272</v>
      </c>
      <c r="C202" s="33" t="s">
        <v>267</v>
      </c>
      <c r="D202" s="58">
        <v>57656800</v>
      </c>
      <c r="E202" s="58">
        <v>0</v>
      </c>
      <c r="F202" s="58">
        <v>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91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7" s="4" customFormat="1" ht="42" customHeight="1" x14ac:dyDescent="0.25">
      <c r="A203" s="102" t="s">
        <v>404</v>
      </c>
      <c r="B203" s="16" t="s">
        <v>213</v>
      </c>
      <c r="C203" s="33" t="s">
        <v>267</v>
      </c>
      <c r="D203" s="58">
        <v>11611313.800000001</v>
      </c>
      <c r="E203" s="58">
        <v>0</v>
      </c>
      <c r="F203" s="58"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91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</row>
    <row r="204" spans="1:67" s="4" customFormat="1" ht="46.2" customHeight="1" x14ac:dyDescent="0.25">
      <c r="A204" s="79" t="s">
        <v>273</v>
      </c>
      <c r="B204" s="16" t="s">
        <v>213</v>
      </c>
      <c r="C204" s="33" t="s">
        <v>267</v>
      </c>
      <c r="D204" s="58">
        <f>10000000+5000000</f>
        <v>15000000</v>
      </c>
      <c r="E204" s="58">
        <v>12420900</v>
      </c>
      <c r="F204" s="58">
        <v>12420900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91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7" s="4" customFormat="1" ht="54" customHeight="1" x14ac:dyDescent="0.25">
      <c r="A205" s="79" t="s">
        <v>354</v>
      </c>
      <c r="B205" s="16" t="s">
        <v>80</v>
      </c>
      <c r="C205" s="33" t="s">
        <v>267</v>
      </c>
      <c r="D205" s="58">
        <v>0</v>
      </c>
      <c r="E205" s="58">
        <v>2654000</v>
      </c>
      <c r="F205" s="58"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91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7" s="4" customFormat="1" ht="54" customHeight="1" x14ac:dyDescent="0.25">
      <c r="A206" s="79" t="s">
        <v>415</v>
      </c>
      <c r="B206" s="16" t="s">
        <v>80</v>
      </c>
      <c r="C206" s="33" t="s">
        <v>267</v>
      </c>
      <c r="D206" s="58">
        <v>84997600</v>
      </c>
      <c r="E206" s="58">
        <v>100000000</v>
      </c>
      <c r="F206" s="58">
        <v>100000000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91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7" s="4" customFormat="1" ht="18" customHeight="1" x14ac:dyDescent="0.25">
      <c r="A207" s="57" t="s">
        <v>274</v>
      </c>
      <c r="B207" s="16" t="s">
        <v>6</v>
      </c>
      <c r="C207" s="17" t="s">
        <v>275</v>
      </c>
      <c r="D207" s="58">
        <f>+D208+D223+D221</f>
        <v>1977407300</v>
      </c>
      <c r="E207" s="58">
        <f t="shared" ref="E207:F207" si="67">+E208+E223+E221</f>
        <v>1844243300</v>
      </c>
      <c r="F207" s="58">
        <f t="shared" si="67"/>
        <v>1844243100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91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</row>
    <row r="208" spans="1:67" s="4" customFormat="1" ht="30.6" customHeight="1" x14ac:dyDescent="0.25">
      <c r="A208" s="57" t="s">
        <v>276</v>
      </c>
      <c r="B208" s="16" t="s">
        <v>6</v>
      </c>
      <c r="C208" s="16" t="s">
        <v>277</v>
      </c>
      <c r="D208" s="58">
        <f>+D209</f>
        <v>28215800</v>
      </c>
      <c r="E208" s="58">
        <f>+E209</f>
        <v>28215800</v>
      </c>
      <c r="F208" s="58">
        <f>+F209</f>
        <v>28215800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91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6" s="42" customFormat="1" ht="30" customHeight="1" x14ac:dyDescent="0.3">
      <c r="A209" s="57" t="s">
        <v>278</v>
      </c>
      <c r="B209" s="16" t="s">
        <v>6</v>
      </c>
      <c r="C209" s="16" t="s">
        <v>279</v>
      </c>
      <c r="D209" s="58">
        <f>SUM(D210:D220)</f>
        <v>28215800</v>
      </c>
      <c r="E209" s="58">
        <f>SUM(E210:E220)</f>
        <v>28215800</v>
      </c>
      <c r="F209" s="58">
        <f>SUM(F210:F220)</f>
        <v>28215800</v>
      </c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92"/>
      <c r="W209" s="41"/>
      <c r="X209" s="41"/>
      <c r="Y209" s="41"/>
      <c r="Z209" s="41"/>
      <c r="AC209" s="43"/>
      <c r="AD209" s="43"/>
      <c r="AE209" s="43"/>
      <c r="AF209" s="43"/>
      <c r="AG209" s="43"/>
      <c r="AH209" s="43"/>
      <c r="AI209" s="41"/>
      <c r="AJ209" s="41"/>
      <c r="AK209" s="41"/>
      <c r="AL209" s="41"/>
      <c r="AM209" s="41"/>
      <c r="AN209" s="41"/>
      <c r="AO209" s="41"/>
      <c r="AP209" s="41"/>
      <c r="AQ209" s="41"/>
      <c r="AR209" s="41"/>
      <c r="AS209" s="41"/>
      <c r="AT209" s="41"/>
      <c r="AU209" s="41"/>
      <c r="AV209" s="41"/>
      <c r="AW209" s="41"/>
      <c r="BM209" s="41"/>
      <c r="BN209" s="41"/>
    </row>
    <row r="210" spans="1:66" s="4" customFormat="1" ht="41.4" customHeight="1" x14ac:dyDescent="0.25">
      <c r="A210" s="56" t="s">
        <v>280</v>
      </c>
      <c r="B210" s="16" t="s">
        <v>257</v>
      </c>
      <c r="C210" s="16" t="s">
        <v>279</v>
      </c>
      <c r="D210" s="61">
        <f>13594600-784700</f>
        <v>12809900</v>
      </c>
      <c r="E210" s="61">
        <f>13594600-784700</f>
        <v>12809900</v>
      </c>
      <c r="F210" s="61">
        <f>13594600-784700</f>
        <v>12809900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91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</row>
    <row r="211" spans="1:66" s="4" customFormat="1" ht="82.2" customHeight="1" x14ac:dyDescent="0.25">
      <c r="A211" s="28" t="s">
        <v>326</v>
      </c>
      <c r="B211" s="16" t="s">
        <v>257</v>
      </c>
      <c r="C211" s="16" t="s">
        <v>279</v>
      </c>
      <c r="D211" s="61">
        <v>80000</v>
      </c>
      <c r="E211" s="61">
        <v>80000</v>
      </c>
      <c r="F211" s="61">
        <v>80000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91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AY211" s="112"/>
      <c r="AZ211" s="112"/>
      <c r="BA211" s="112"/>
      <c r="BB211" s="112"/>
      <c r="BC211" s="112"/>
      <c r="BD211" s="112"/>
      <c r="BM211" s="3"/>
      <c r="BN211" s="3"/>
    </row>
    <row r="212" spans="1:66" s="4" customFormat="1" ht="29.4" customHeight="1" x14ac:dyDescent="0.25">
      <c r="A212" s="101" t="s">
        <v>281</v>
      </c>
      <c r="B212" s="16" t="s">
        <v>257</v>
      </c>
      <c r="C212" s="16" t="s">
        <v>279</v>
      </c>
      <c r="D212" s="61">
        <f>3612000-853300</f>
        <v>2758700</v>
      </c>
      <c r="E212" s="61">
        <f>3612000-853300</f>
        <v>2758700</v>
      </c>
      <c r="F212" s="61">
        <f>3612000-853300</f>
        <v>2758700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91"/>
      <c r="W212" s="3"/>
      <c r="X212" s="3"/>
      <c r="Y212" s="3"/>
      <c r="Z212" s="3"/>
      <c r="AC212" s="5"/>
      <c r="AD212" s="5"/>
      <c r="AE212" s="5"/>
      <c r="AF212" s="5"/>
      <c r="AG212" s="5"/>
      <c r="AH212" s="5"/>
      <c r="AI212" s="3"/>
      <c r="AJ212" s="3"/>
      <c r="AK212" s="3"/>
      <c r="AL212" s="3"/>
      <c r="AM212" s="3"/>
      <c r="AN212" s="3"/>
      <c r="AO212" s="3"/>
      <c r="AP212" s="3"/>
      <c r="AQ212" s="3"/>
      <c r="AR212" s="6"/>
      <c r="AS212" s="6"/>
      <c r="AT212" s="3"/>
      <c r="AU212" s="3"/>
      <c r="AV212" s="3"/>
      <c r="AW212" s="3"/>
      <c r="AZ212" s="113"/>
      <c r="BA212" s="113"/>
      <c r="BB212" s="113"/>
      <c r="BC212" s="113"/>
      <c r="BD212" s="113"/>
      <c r="BE212" s="113"/>
      <c r="BM212" s="3"/>
      <c r="BN212" s="3"/>
    </row>
    <row r="213" spans="1:66" s="42" customFormat="1" ht="43.95" customHeight="1" x14ac:dyDescent="0.3">
      <c r="A213" s="56" t="s">
        <v>282</v>
      </c>
      <c r="B213" s="16" t="s">
        <v>213</v>
      </c>
      <c r="C213" s="16" t="s">
        <v>279</v>
      </c>
      <c r="D213" s="58">
        <f>62200+3300</f>
        <v>65500</v>
      </c>
      <c r="E213" s="58">
        <v>65500</v>
      </c>
      <c r="F213" s="58">
        <v>65500</v>
      </c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92"/>
      <c r="W213" s="41"/>
      <c r="X213" s="41"/>
      <c r="Y213" s="41"/>
      <c r="Z213" s="41"/>
      <c r="AC213" s="43"/>
      <c r="AD213" s="43"/>
      <c r="AE213" s="43"/>
      <c r="AF213" s="43"/>
      <c r="AG213" s="43"/>
      <c r="AH213" s="43"/>
      <c r="AI213" s="41"/>
      <c r="AJ213" s="41"/>
      <c r="AK213" s="41"/>
      <c r="AL213" s="41"/>
      <c r="AM213" s="41"/>
      <c r="AN213" s="41"/>
      <c r="AO213" s="41"/>
      <c r="AP213" s="41"/>
      <c r="AQ213" s="41"/>
      <c r="AR213" s="41"/>
      <c r="AS213" s="41"/>
      <c r="AT213" s="41"/>
      <c r="AU213" s="41"/>
      <c r="AV213" s="41"/>
      <c r="AW213" s="41"/>
      <c r="BM213" s="41"/>
      <c r="BN213" s="41"/>
    </row>
    <row r="214" spans="1:66" s="42" customFormat="1" ht="27" customHeight="1" x14ac:dyDescent="0.3">
      <c r="A214" s="57" t="s">
        <v>283</v>
      </c>
      <c r="B214" s="16" t="s">
        <v>213</v>
      </c>
      <c r="C214" s="16" t="s">
        <v>279</v>
      </c>
      <c r="D214" s="61">
        <v>182600</v>
      </c>
      <c r="E214" s="61">
        <v>182600</v>
      </c>
      <c r="F214" s="61">
        <v>182600</v>
      </c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92"/>
      <c r="W214" s="41"/>
      <c r="X214" s="41"/>
      <c r="Y214" s="41"/>
      <c r="Z214" s="41"/>
      <c r="AC214" s="43"/>
      <c r="AD214" s="43"/>
      <c r="AE214" s="43"/>
      <c r="AF214" s="43"/>
      <c r="AG214" s="43"/>
      <c r="AH214" s="43"/>
      <c r="AI214" s="41"/>
      <c r="AJ214" s="41"/>
      <c r="AK214" s="41"/>
      <c r="AL214" s="41"/>
      <c r="AM214" s="41"/>
      <c r="AN214" s="41"/>
      <c r="AO214" s="41"/>
      <c r="AP214" s="41"/>
      <c r="AQ214" s="41"/>
      <c r="AR214" s="41"/>
      <c r="AS214" s="41"/>
      <c r="AT214" s="41"/>
      <c r="AU214" s="41"/>
      <c r="AV214" s="41"/>
      <c r="AW214" s="41"/>
      <c r="BM214" s="41"/>
      <c r="BN214" s="41"/>
    </row>
    <row r="215" spans="1:66" s="42" customFormat="1" ht="58.2" customHeight="1" x14ac:dyDescent="0.3">
      <c r="A215" s="56" t="s">
        <v>284</v>
      </c>
      <c r="B215" s="16" t="s">
        <v>213</v>
      </c>
      <c r="C215" s="16" t="s">
        <v>279</v>
      </c>
      <c r="D215" s="63">
        <v>4120800</v>
      </c>
      <c r="E215" s="63">
        <v>4120800</v>
      </c>
      <c r="F215" s="63">
        <v>4120800</v>
      </c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92"/>
      <c r="W215" s="41"/>
      <c r="X215" s="41"/>
      <c r="Y215" s="41"/>
      <c r="Z215" s="41"/>
      <c r="AC215" s="43"/>
      <c r="AD215" s="43"/>
      <c r="AE215" s="43"/>
      <c r="AF215" s="43"/>
      <c r="AG215" s="43"/>
      <c r="AH215" s="43"/>
      <c r="AI215" s="41"/>
      <c r="AJ215" s="41"/>
      <c r="AK215" s="41"/>
      <c r="AL215" s="41"/>
      <c r="AM215" s="41"/>
      <c r="AN215" s="41"/>
      <c r="AO215" s="41"/>
      <c r="AP215" s="41"/>
      <c r="AQ215" s="41"/>
      <c r="AR215" s="41"/>
      <c r="AS215" s="41"/>
      <c r="AT215" s="41"/>
      <c r="AU215" s="41"/>
      <c r="AV215" s="41"/>
      <c r="AW215" s="41"/>
      <c r="BM215" s="41"/>
      <c r="BN215" s="41"/>
    </row>
    <row r="216" spans="1:66" s="4" customFormat="1" ht="57" customHeight="1" x14ac:dyDescent="0.25">
      <c r="A216" s="56" t="s">
        <v>285</v>
      </c>
      <c r="B216" s="16" t="s">
        <v>213</v>
      </c>
      <c r="C216" s="16" t="s">
        <v>279</v>
      </c>
      <c r="D216" s="61">
        <f>3257100+179300</f>
        <v>3436400</v>
      </c>
      <c r="E216" s="61">
        <v>3436400</v>
      </c>
      <c r="F216" s="61">
        <v>3436400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91"/>
      <c r="W216" s="3"/>
      <c r="X216" s="3"/>
      <c r="Y216" s="3"/>
      <c r="Z216" s="3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6" s="42" customFormat="1" ht="30.6" customHeight="1" x14ac:dyDescent="0.3">
      <c r="A217" s="57" t="s">
        <v>286</v>
      </c>
      <c r="B217" s="16" t="s">
        <v>213</v>
      </c>
      <c r="C217" s="16" t="s">
        <v>279</v>
      </c>
      <c r="D217" s="63">
        <v>1077800</v>
      </c>
      <c r="E217" s="63">
        <v>1077800</v>
      </c>
      <c r="F217" s="63">
        <v>1077800</v>
      </c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92"/>
      <c r="W217" s="41"/>
      <c r="X217" s="41"/>
      <c r="Y217" s="41"/>
      <c r="Z217" s="41"/>
      <c r="AC217" s="43"/>
      <c r="AD217" s="43"/>
      <c r="AE217" s="43"/>
      <c r="AF217" s="43"/>
      <c r="AG217" s="43"/>
      <c r="AH217" s="43"/>
      <c r="AI217" s="41"/>
      <c r="AJ217" s="41"/>
      <c r="AK217" s="41"/>
      <c r="AL217" s="41"/>
      <c r="AM217" s="41"/>
      <c r="AN217" s="41"/>
      <c r="AO217" s="41"/>
      <c r="AP217" s="41"/>
      <c r="AQ217" s="41"/>
      <c r="AR217" s="41"/>
      <c r="AS217" s="41"/>
      <c r="AT217" s="41"/>
      <c r="AU217" s="41"/>
      <c r="AV217" s="41"/>
      <c r="AW217" s="41"/>
      <c r="BM217" s="41"/>
      <c r="BN217" s="41"/>
    </row>
    <row r="218" spans="1:66" s="42" customFormat="1" ht="84.6" customHeight="1" x14ac:dyDescent="0.3">
      <c r="A218" s="57" t="s">
        <v>287</v>
      </c>
      <c r="B218" s="16" t="s">
        <v>213</v>
      </c>
      <c r="C218" s="16" t="s">
        <v>279</v>
      </c>
      <c r="D218" s="62">
        <v>700</v>
      </c>
      <c r="E218" s="62">
        <v>700</v>
      </c>
      <c r="F218" s="62">
        <v>700</v>
      </c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92"/>
      <c r="W218" s="41"/>
      <c r="X218" s="41"/>
      <c r="Y218" s="41"/>
      <c r="Z218" s="41"/>
      <c r="AC218" s="43"/>
      <c r="AD218" s="43"/>
      <c r="AE218" s="43"/>
      <c r="AF218" s="43"/>
      <c r="AG218" s="43"/>
      <c r="AH218" s="43"/>
      <c r="AI218" s="41"/>
      <c r="AJ218" s="41"/>
      <c r="AK218" s="41"/>
      <c r="AL218" s="41"/>
      <c r="AM218" s="41"/>
      <c r="AN218" s="41"/>
      <c r="AO218" s="41"/>
      <c r="AP218" s="41"/>
      <c r="AQ218" s="41"/>
      <c r="AR218" s="41"/>
      <c r="AS218" s="41"/>
      <c r="AT218" s="41"/>
      <c r="AU218" s="41"/>
      <c r="AV218" s="41"/>
      <c r="AW218" s="41"/>
      <c r="BM218" s="41"/>
      <c r="BN218" s="41"/>
    </row>
    <row r="219" spans="1:66" s="4" customFormat="1" ht="43.8" customHeight="1" x14ac:dyDescent="0.25">
      <c r="A219" s="57" t="s">
        <v>288</v>
      </c>
      <c r="B219" s="16" t="s">
        <v>213</v>
      </c>
      <c r="C219" s="16" t="s">
        <v>279</v>
      </c>
      <c r="D219" s="61">
        <f>2154300+110400</f>
        <v>2264700</v>
      </c>
      <c r="E219" s="61">
        <v>2264700</v>
      </c>
      <c r="F219" s="61">
        <v>2264700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91"/>
      <c r="W219" s="3"/>
      <c r="X219" s="3"/>
      <c r="Y219" s="3"/>
      <c r="Z219" s="3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6" s="4" customFormat="1" ht="57" customHeight="1" x14ac:dyDescent="0.25">
      <c r="A220" s="83" t="s">
        <v>313</v>
      </c>
      <c r="B220" s="16" t="s">
        <v>80</v>
      </c>
      <c r="C220" s="16" t="s">
        <v>279</v>
      </c>
      <c r="D220" s="61">
        <f>1320900+97800</f>
        <v>1418700</v>
      </c>
      <c r="E220" s="61">
        <f>1320900+97800</f>
        <v>1418700</v>
      </c>
      <c r="F220" s="61">
        <f>1320900+97800</f>
        <v>1418700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91"/>
      <c r="W220" s="3"/>
      <c r="X220" s="3"/>
      <c r="Y220" s="3"/>
      <c r="Z220" s="3"/>
      <c r="AC220" s="5"/>
      <c r="AD220" s="5"/>
      <c r="AE220" s="5"/>
      <c r="AF220" s="5"/>
      <c r="AG220" s="5"/>
      <c r="AH220" s="5"/>
      <c r="AI220" s="3"/>
      <c r="AJ220" s="3"/>
      <c r="AK220" s="3"/>
      <c r="AL220" s="3"/>
      <c r="AM220" s="3"/>
      <c r="AN220" s="3"/>
      <c r="AO220" s="3"/>
      <c r="AP220" s="3"/>
      <c r="AQ220" s="3"/>
      <c r="AR220" s="6"/>
      <c r="AS220" s="6"/>
      <c r="AT220" s="3"/>
      <c r="AU220" s="3"/>
      <c r="AV220" s="3"/>
      <c r="AW220" s="3"/>
      <c r="AY220" s="114"/>
      <c r="AZ220" s="114"/>
      <c r="BA220" s="114"/>
      <c r="BB220" s="114"/>
      <c r="BC220" s="114"/>
      <c r="BD220" s="114"/>
      <c r="BM220" s="3"/>
      <c r="BN220" s="3"/>
    </row>
    <row r="221" spans="1:66" s="4" customFormat="1" ht="56.4" customHeight="1" x14ac:dyDescent="0.25">
      <c r="A221" s="57" t="s">
        <v>352</v>
      </c>
      <c r="B221" s="16" t="s">
        <v>6</v>
      </c>
      <c r="C221" s="37" t="s">
        <v>289</v>
      </c>
      <c r="D221" s="61">
        <f>+D222</f>
        <v>1300</v>
      </c>
      <c r="E221" s="61">
        <f>+E222</f>
        <v>1400</v>
      </c>
      <c r="F221" s="61">
        <f>+F222</f>
        <v>1200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91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</row>
    <row r="222" spans="1:66" s="4" customFormat="1" ht="53.4" customHeight="1" x14ac:dyDescent="0.25">
      <c r="A222" s="57" t="s">
        <v>290</v>
      </c>
      <c r="B222" s="16" t="s">
        <v>213</v>
      </c>
      <c r="C222" s="37" t="s">
        <v>291</v>
      </c>
      <c r="D222" s="61">
        <v>1300</v>
      </c>
      <c r="E222" s="61">
        <v>1400</v>
      </c>
      <c r="F222" s="61">
        <v>1200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91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BM222" s="3"/>
      <c r="BN222" s="3"/>
    </row>
    <row r="223" spans="1:66" s="4" customFormat="1" ht="18" customHeight="1" x14ac:dyDescent="0.25">
      <c r="A223" s="57" t="s">
        <v>292</v>
      </c>
      <c r="B223" s="16" t="s">
        <v>6</v>
      </c>
      <c r="C223" s="17" t="s">
        <v>293</v>
      </c>
      <c r="D223" s="58">
        <f>+D224</f>
        <v>1949190200</v>
      </c>
      <c r="E223" s="58">
        <f>+E224</f>
        <v>1816026100</v>
      </c>
      <c r="F223" s="58">
        <f>+F224</f>
        <v>1816026100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91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BM223" s="3"/>
      <c r="BN223" s="3"/>
    </row>
    <row r="224" spans="1:66" s="4" customFormat="1" ht="19.2" customHeight="1" x14ac:dyDescent="0.25">
      <c r="A224" s="57" t="s">
        <v>294</v>
      </c>
      <c r="B224" s="16" t="s">
        <v>6</v>
      </c>
      <c r="C224" s="17" t="s">
        <v>295</v>
      </c>
      <c r="D224" s="58">
        <f t="shared" ref="D224:F224" si="68">+D225+D226</f>
        <v>1949190200</v>
      </c>
      <c r="E224" s="58">
        <f t="shared" si="68"/>
        <v>1816026100</v>
      </c>
      <c r="F224" s="58">
        <f t="shared" si="68"/>
        <v>1816026100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91"/>
      <c r="W224" s="3"/>
      <c r="X224" s="3"/>
      <c r="Y224" s="3"/>
      <c r="Z224" s="3"/>
      <c r="AC224" s="5"/>
      <c r="AD224" s="5"/>
      <c r="AE224" s="5"/>
      <c r="AF224" s="5"/>
      <c r="AG224" s="5"/>
      <c r="AH224" s="5"/>
      <c r="AI224" s="3"/>
      <c r="AJ224" s="3"/>
      <c r="AK224" s="3"/>
      <c r="AL224" s="3"/>
      <c r="AM224" s="3"/>
      <c r="AN224" s="3"/>
      <c r="AO224" s="3"/>
      <c r="AP224" s="3"/>
      <c r="AQ224" s="3"/>
      <c r="AR224" s="6"/>
      <c r="AS224" s="6"/>
      <c r="AT224" s="3"/>
      <c r="AU224" s="3"/>
      <c r="AV224" s="3"/>
      <c r="AW224" s="3"/>
      <c r="BM224" s="3"/>
      <c r="BN224" s="3"/>
    </row>
    <row r="225" spans="1:66" s="4" customFormat="1" ht="79.2" customHeight="1" x14ac:dyDescent="0.25">
      <c r="A225" s="56" t="s">
        <v>296</v>
      </c>
      <c r="B225" s="16" t="s">
        <v>257</v>
      </c>
      <c r="C225" s="17" t="s">
        <v>297</v>
      </c>
      <c r="D225" s="59">
        <v>929178000</v>
      </c>
      <c r="E225" s="59">
        <v>863674800</v>
      </c>
      <c r="F225" s="59">
        <v>863674800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91"/>
      <c r="W225" s="3"/>
      <c r="X225" s="3"/>
      <c r="Y225" s="3"/>
      <c r="Z225" s="3"/>
      <c r="AC225" s="5"/>
      <c r="AD225" s="5"/>
      <c r="AE225" s="5"/>
      <c r="AF225" s="5"/>
      <c r="AG225" s="5"/>
      <c r="AH225" s="5"/>
      <c r="AI225" s="3"/>
      <c r="AJ225" s="3"/>
      <c r="AK225" s="3"/>
      <c r="AL225" s="3"/>
      <c r="AM225" s="3"/>
      <c r="AN225" s="3"/>
      <c r="AO225" s="3"/>
      <c r="AP225" s="3"/>
      <c r="AQ225" s="3"/>
      <c r="AR225" s="6"/>
      <c r="AS225" s="6"/>
      <c r="AT225" s="3"/>
      <c r="AU225" s="3"/>
      <c r="AV225" s="3"/>
      <c r="AW225" s="3"/>
      <c r="BM225" s="3"/>
      <c r="BN225" s="3"/>
    </row>
    <row r="226" spans="1:66" s="4" customFormat="1" ht="57" customHeight="1" x14ac:dyDescent="0.25">
      <c r="A226" s="56" t="s">
        <v>298</v>
      </c>
      <c r="B226" s="16" t="s">
        <v>257</v>
      </c>
      <c r="C226" s="17" t="s">
        <v>295</v>
      </c>
      <c r="D226" s="59">
        <v>1020012200</v>
      </c>
      <c r="E226" s="59">
        <v>952351300</v>
      </c>
      <c r="F226" s="59">
        <v>952351300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91"/>
      <c r="W226" s="3"/>
      <c r="X226" s="3"/>
      <c r="Y226" s="3"/>
      <c r="Z226" s="3"/>
      <c r="AC226" s="5"/>
      <c r="AD226" s="5"/>
      <c r="AE226" s="5"/>
      <c r="AF226" s="5"/>
      <c r="AG226" s="5"/>
      <c r="AH226" s="5"/>
      <c r="AI226" s="3"/>
      <c r="AJ226" s="3"/>
      <c r="AK226" s="3"/>
      <c r="AL226" s="3"/>
      <c r="AM226" s="3"/>
      <c r="AN226" s="3"/>
      <c r="AO226" s="3"/>
      <c r="AP226" s="3"/>
      <c r="AQ226" s="3"/>
      <c r="AR226" s="6"/>
      <c r="AS226" s="6"/>
      <c r="AT226" s="3"/>
      <c r="AU226" s="3"/>
      <c r="AV226" s="3"/>
      <c r="AW226" s="3"/>
      <c r="BM226" s="3"/>
      <c r="BN226" s="3"/>
    </row>
    <row r="227" spans="1:66" s="4" customFormat="1" ht="16.8" customHeight="1" x14ac:dyDescent="0.25">
      <c r="A227" s="56" t="s">
        <v>421</v>
      </c>
      <c r="B227" s="16" t="s">
        <v>6</v>
      </c>
      <c r="C227" s="17" t="s">
        <v>422</v>
      </c>
      <c r="D227" s="59">
        <f>+D228+D230</f>
        <v>61357800</v>
      </c>
      <c r="E227" s="59">
        <f t="shared" ref="E227:F227" si="69">+E228+E230</f>
        <v>61271900</v>
      </c>
      <c r="F227" s="59">
        <f t="shared" si="69"/>
        <v>61271900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91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6" s="4" customFormat="1" ht="68.400000000000006" customHeight="1" x14ac:dyDescent="0.25">
      <c r="A228" s="56" t="s">
        <v>428</v>
      </c>
      <c r="B228" s="16" t="s">
        <v>6</v>
      </c>
      <c r="C228" s="93" t="s">
        <v>424</v>
      </c>
      <c r="D228" s="59">
        <f>+D229</f>
        <v>5673900</v>
      </c>
      <c r="E228" s="59">
        <f t="shared" ref="E228:F228" si="70">+E229</f>
        <v>5588000</v>
      </c>
      <c r="F228" s="59">
        <f t="shared" si="70"/>
        <v>5588000</v>
      </c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91"/>
      <c r="W228" s="3"/>
      <c r="X228" s="3"/>
      <c r="Y228" s="3"/>
      <c r="Z228" s="3"/>
      <c r="AC228" s="5"/>
      <c r="AD228" s="5"/>
      <c r="AE228" s="5"/>
      <c r="AF228" s="5"/>
      <c r="AG228" s="5"/>
      <c r="AH228" s="5"/>
      <c r="AI228" s="3"/>
      <c r="AJ228" s="3"/>
      <c r="AK228" s="3"/>
      <c r="AL228" s="3"/>
      <c r="AM228" s="3"/>
      <c r="AN228" s="3"/>
      <c r="AO228" s="3"/>
      <c r="AP228" s="3"/>
      <c r="AQ228" s="3"/>
      <c r="AR228" s="6"/>
      <c r="AS228" s="6"/>
      <c r="AT228" s="3"/>
      <c r="AU228" s="3"/>
      <c r="AV228" s="3"/>
      <c r="AW228" s="3"/>
      <c r="BM228" s="3"/>
      <c r="BN228" s="3"/>
    </row>
    <row r="229" spans="1:66" s="4" customFormat="1" ht="69.599999999999994" customHeight="1" x14ac:dyDescent="0.25">
      <c r="A229" s="56" t="s">
        <v>423</v>
      </c>
      <c r="B229" s="16" t="s">
        <v>257</v>
      </c>
      <c r="C229" s="93" t="s">
        <v>425</v>
      </c>
      <c r="D229" s="59">
        <v>5673900</v>
      </c>
      <c r="E229" s="59">
        <v>5588000</v>
      </c>
      <c r="F229" s="59">
        <v>5588000</v>
      </c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91"/>
      <c r="W229" s="3"/>
      <c r="X229" s="3"/>
      <c r="Y229" s="3"/>
      <c r="Z229" s="3"/>
      <c r="AC229" s="5"/>
      <c r="AD229" s="5"/>
      <c r="AE229" s="5"/>
      <c r="AF229" s="5"/>
      <c r="AG229" s="5"/>
      <c r="AH229" s="5"/>
      <c r="AI229" s="3"/>
      <c r="AJ229" s="3"/>
      <c r="AK229" s="3"/>
      <c r="AL229" s="3"/>
      <c r="AM229" s="3"/>
      <c r="AN229" s="3"/>
      <c r="AO229" s="3"/>
      <c r="AP229" s="3"/>
      <c r="AQ229" s="3"/>
      <c r="AR229" s="6"/>
      <c r="AS229" s="6"/>
      <c r="AT229" s="3"/>
      <c r="AU229" s="3"/>
      <c r="AV229" s="3"/>
      <c r="AW229" s="3"/>
      <c r="BM229" s="3"/>
      <c r="BN229" s="3"/>
    </row>
    <row r="230" spans="1:66" s="4" customFormat="1" ht="98.4" customHeight="1" x14ac:dyDescent="0.25">
      <c r="A230" s="57" t="s">
        <v>430</v>
      </c>
      <c r="B230" s="16" t="s">
        <v>6</v>
      </c>
      <c r="C230" s="17" t="s">
        <v>426</v>
      </c>
      <c r="D230" s="59">
        <f>+D231</f>
        <v>55683900</v>
      </c>
      <c r="E230" s="59">
        <f t="shared" ref="E230:F230" si="71">+E231</f>
        <v>55683900</v>
      </c>
      <c r="F230" s="59">
        <f t="shared" si="71"/>
        <v>55683900</v>
      </c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91"/>
      <c r="W230" s="3"/>
      <c r="X230" s="3"/>
      <c r="Y230" s="3"/>
      <c r="Z230" s="3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</row>
    <row r="231" spans="1:66" s="4" customFormat="1" ht="99.6" customHeight="1" x14ac:dyDescent="0.25">
      <c r="A231" s="57" t="s">
        <v>429</v>
      </c>
      <c r="B231" s="16" t="s">
        <v>257</v>
      </c>
      <c r="C231" s="17" t="s">
        <v>427</v>
      </c>
      <c r="D231" s="59">
        <v>55683900</v>
      </c>
      <c r="E231" s="59">
        <v>55683900</v>
      </c>
      <c r="F231" s="59">
        <v>55683900</v>
      </c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91"/>
      <c r="W231" s="3"/>
      <c r="X231" s="3"/>
      <c r="Y231" s="3"/>
      <c r="Z231" s="3"/>
      <c r="AC231" s="5"/>
      <c r="AD231" s="5"/>
      <c r="AE231" s="5"/>
      <c r="AF231" s="5"/>
      <c r="AG231" s="5"/>
      <c r="AH231" s="5"/>
      <c r="AI231" s="3"/>
      <c r="AJ231" s="3"/>
      <c r="AK231" s="3"/>
      <c r="AL231" s="3"/>
      <c r="AM231" s="3"/>
      <c r="AN231" s="3"/>
      <c r="AO231" s="3"/>
      <c r="AP231" s="3"/>
      <c r="AQ231" s="3"/>
      <c r="AR231" s="6"/>
      <c r="AS231" s="6"/>
      <c r="AT231" s="3"/>
      <c r="AU231" s="3"/>
      <c r="AV231" s="3"/>
      <c r="AW231" s="3"/>
      <c r="BM231" s="3"/>
      <c r="BN231" s="3"/>
    </row>
    <row r="232" spans="1:66" s="4" customFormat="1" ht="46.8" customHeight="1" x14ac:dyDescent="0.25">
      <c r="A232" s="84" t="s">
        <v>381</v>
      </c>
      <c r="B232" s="16" t="s">
        <v>6</v>
      </c>
      <c r="C232" s="85" t="s">
        <v>382</v>
      </c>
      <c r="D232" s="59">
        <f>+D233</f>
        <v>315300.68</v>
      </c>
      <c r="E232" s="59">
        <f t="shared" ref="E232:F232" si="72">+E233</f>
        <v>0</v>
      </c>
      <c r="F232" s="59">
        <f t="shared" si="72"/>
        <v>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91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6" s="4" customFormat="1" ht="69" customHeight="1" x14ac:dyDescent="0.25">
      <c r="A233" s="84" t="s">
        <v>383</v>
      </c>
      <c r="B233" s="16" t="s">
        <v>6</v>
      </c>
      <c r="C233" s="85" t="s">
        <v>384</v>
      </c>
      <c r="D233" s="59">
        <f>+D234</f>
        <v>315300.68</v>
      </c>
      <c r="E233" s="59">
        <f t="shared" ref="E233:F233" si="73">+E234</f>
        <v>0</v>
      </c>
      <c r="F233" s="59">
        <f t="shared" si="73"/>
        <v>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91"/>
      <c r="W233" s="3"/>
      <c r="X233" s="3"/>
      <c r="Y233" s="3"/>
      <c r="Z233" s="3"/>
      <c r="AC233" s="5"/>
      <c r="AD233" s="5"/>
      <c r="AE233" s="5"/>
      <c r="AF233" s="5"/>
      <c r="AG233" s="5"/>
      <c r="AH233" s="5"/>
      <c r="AI233" s="3"/>
      <c r="AJ233" s="3"/>
      <c r="AK233" s="3"/>
      <c r="AL233" s="3"/>
      <c r="AM233" s="3"/>
      <c r="AN233" s="3"/>
      <c r="AO233" s="3"/>
      <c r="AP233" s="3"/>
      <c r="AQ233" s="3"/>
      <c r="AR233" s="6"/>
      <c r="AS233" s="6"/>
      <c r="AT233" s="3"/>
      <c r="AU233" s="3"/>
      <c r="AV233" s="3"/>
      <c r="AW233" s="3"/>
      <c r="BM233" s="3"/>
      <c r="BN233" s="3"/>
    </row>
    <row r="234" spans="1:66" s="4" customFormat="1" ht="70.2" customHeight="1" x14ac:dyDescent="0.25">
      <c r="A234" s="84" t="s">
        <v>385</v>
      </c>
      <c r="B234" s="16" t="s">
        <v>6</v>
      </c>
      <c r="C234" s="85" t="s">
        <v>386</v>
      </c>
      <c r="D234" s="59">
        <f>+D235</f>
        <v>315300.68</v>
      </c>
      <c r="E234" s="59">
        <f t="shared" ref="E234:F234" si="74">+E235</f>
        <v>0</v>
      </c>
      <c r="F234" s="59">
        <f t="shared" si="74"/>
        <v>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91"/>
      <c r="W234" s="3"/>
      <c r="X234" s="3"/>
      <c r="Y234" s="3"/>
      <c r="Z234" s="3"/>
      <c r="AC234" s="5"/>
      <c r="AD234" s="5"/>
      <c r="AE234" s="5"/>
      <c r="AF234" s="5"/>
      <c r="AG234" s="5"/>
      <c r="AH234" s="5"/>
      <c r="AI234" s="3"/>
      <c r="AJ234" s="3"/>
      <c r="AK234" s="3"/>
      <c r="AL234" s="3"/>
      <c r="AM234" s="3"/>
      <c r="AN234" s="3"/>
      <c r="AO234" s="3"/>
      <c r="AP234" s="3"/>
      <c r="AQ234" s="3"/>
      <c r="AR234" s="6"/>
      <c r="AS234" s="6"/>
      <c r="AT234" s="3"/>
      <c r="AU234" s="3"/>
      <c r="AV234" s="3"/>
      <c r="AW234" s="3"/>
      <c r="BM234" s="3"/>
      <c r="BN234" s="3"/>
    </row>
    <row r="235" spans="1:66" s="4" customFormat="1" ht="28.2" customHeight="1" x14ac:dyDescent="0.25">
      <c r="A235" s="84" t="s">
        <v>387</v>
      </c>
      <c r="B235" s="16" t="s">
        <v>6</v>
      </c>
      <c r="C235" s="85" t="s">
        <v>388</v>
      </c>
      <c r="D235" s="59">
        <f>+D236+D237+D238</f>
        <v>315300.68</v>
      </c>
      <c r="E235" s="59">
        <f t="shared" ref="E235:F235" si="75">+E236+E237+E238</f>
        <v>0</v>
      </c>
      <c r="F235" s="59">
        <f t="shared" si="75"/>
        <v>0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91"/>
      <c r="W235" s="3"/>
      <c r="X235" s="3"/>
      <c r="Y235" s="3"/>
      <c r="Z235" s="3"/>
      <c r="AC235" s="5"/>
      <c r="AD235" s="5"/>
      <c r="AE235" s="5"/>
      <c r="AF235" s="5"/>
      <c r="AG235" s="5"/>
      <c r="AH235" s="5"/>
      <c r="AI235" s="3"/>
      <c r="AJ235" s="3"/>
      <c r="AK235" s="3"/>
      <c r="AL235" s="3"/>
      <c r="AM235" s="3"/>
      <c r="AN235" s="3"/>
      <c r="AO235" s="3"/>
      <c r="AP235" s="3"/>
      <c r="AQ235" s="3"/>
      <c r="AR235" s="6"/>
      <c r="AS235" s="6"/>
      <c r="AT235" s="3"/>
      <c r="AU235" s="3"/>
      <c r="AV235" s="3"/>
      <c r="AW235" s="3"/>
      <c r="BM235" s="3"/>
      <c r="BN235" s="3"/>
    </row>
    <row r="236" spans="1:66" s="4" customFormat="1" ht="33" customHeight="1" x14ac:dyDescent="0.25">
      <c r="A236" s="95" t="s">
        <v>434</v>
      </c>
      <c r="B236" s="16" t="s">
        <v>257</v>
      </c>
      <c r="C236" s="85" t="s">
        <v>435</v>
      </c>
      <c r="D236" s="59">
        <f>9938+9885.2+61859.3</f>
        <v>81682.5</v>
      </c>
      <c r="E236" s="59">
        <v>0</v>
      </c>
      <c r="F236" s="59">
        <v>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91"/>
      <c r="W236" s="3"/>
      <c r="X236" s="3"/>
      <c r="Y236" s="3"/>
      <c r="Z236" s="3"/>
      <c r="AC236" s="5"/>
      <c r="AD236" s="5"/>
      <c r="AE236" s="5"/>
      <c r="AF236" s="5"/>
      <c r="AG236" s="5"/>
      <c r="AH236" s="5"/>
      <c r="AI236" s="3"/>
      <c r="AJ236" s="3"/>
      <c r="AK236" s="3"/>
      <c r="AL236" s="3"/>
      <c r="AM236" s="3"/>
      <c r="AN236" s="3"/>
      <c r="AO236" s="3"/>
      <c r="AP236" s="3"/>
      <c r="AQ236" s="3"/>
      <c r="AR236" s="6"/>
      <c r="AS236" s="6"/>
      <c r="AT236" s="3"/>
      <c r="AU236" s="3"/>
      <c r="AV236" s="3"/>
      <c r="AW236" s="3"/>
      <c r="BM236" s="3"/>
      <c r="BN236" s="3"/>
    </row>
    <row r="237" spans="1:66" s="4" customFormat="1" ht="28.8" customHeight="1" x14ac:dyDescent="0.25">
      <c r="A237" s="84" t="s">
        <v>390</v>
      </c>
      <c r="B237" s="16" t="s">
        <v>272</v>
      </c>
      <c r="C237" s="85" t="s">
        <v>389</v>
      </c>
      <c r="D237" s="59">
        <f>60781.97+167772.58</f>
        <v>228554.55</v>
      </c>
      <c r="E237" s="59"/>
      <c r="F237" s="59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91"/>
      <c r="W237" s="3"/>
      <c r="X237" s="3"/>
      <c r="Y237" s="3"/>
      <c r="Z237" s="3"/>
      <c r="AC237" s="5"/>
      <c r="AD237" s="5"/>
      <c r="AE237" s="5"/>
      <c r="AF237" s="5"/>
      <c r="AG237" s="5"/>
      <c r="AH237" s="5"/>
      <c r="AI237" s="3"/>
      <c r="AJ237" s="3"/>
      <c r="AK237" s="3"/>
      <c r="AL237" s="3"/>
      <c r="AM237" s="3"/>
      <c r="AN237" s="3"/>
      <c r="AO237" s="3"/>
      <c r="AP237" s="3"/>
      <c r="AQ237" s="3"/>
      <c r="AR237" s="6"/>
      <c r="AS237" s="6"/>
      <c r="AT237" s="3"/>
      <c r="AU237" s="3"/>
      <c r="AV237" s="3"/>
      <c r="AW237" s="3"/>
      <c r="BM237" s="3"/>
      <c r="BN237" s="3"/>
    </row>
    <row r="238" spans="1:66" s="4" customFormat="1" ht="30.6" customHeight="1" x14ac:dyDescent="0.25">
      <c r="A238" s="84" t="s">
        <v>390</v>
      </c>
      <c r="B238" s="16" t="s">
        <v>213</v>
      </c>
      <c r="C238" s="85" t="s">
        <v>389</v>
      </c>
      <c r="D238" s="59">
        <f>5000+63.63</f>
        <v>5063.63</v>
      </c>
      <c r="E238" s="59">
        <v>0</v>
      </c>
      <c r="F238" s="59">
        <v>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91"/>
      <c r="W238" s="3"/>
      <c r="X238" s="3"/>
      <c r="Y238" s="3"/>
      <c r="Z238" s="3"/>
      <c r="AC238" s="5"/>
      <c r="AD238" s="5"/>
      <c r="AE238" s="5"/>
      <c r="AF238" s="5"/>
      <c r="AG238" s="5"/>
      <c r="AH238" s="5"/>
      <c r="AI238" s="3"/>
      <c r="AJ238" s="3"/>
      <c r="AK238" s="3"/>
      <c r="AL238" s="3"/>
      <c r="AM238" s="3"/>
      <c r="AN238" s="3"/>
      <c r="AO238" s="3"/>
      <c r="AP238" s="3"/>
      <c r="AQ238" s="3"/>
      <c r="AR238" s="6"/>
      <c r="AS238" s="6"/>
      <c r="AT238" s="3"/>
      <c r="AU238" s="3"/>
      <c r="AV238" s="3"/>
      <c r="AW238" s="3"/>
      <c r="BM238" s="3"/>
      <c r="BN238" s="3"/>
    </row>
    <row r="239" spans="1:66" s="4" customFormat="1" ht="36" customHeight="1" x14ac:dyDescent="0.25">
      <c r="A239" s="79" t="s">
        <v>391</v>
      </c>
      <c r="B239" s="16" t="s">
        <v>6</v>
      </c>
      <c r="C239" s="86" t="s">
        <v>392</v>
      </c>
      <c r="D239" s="59">
        <f>+D240</f>
        <v>-332593.75</v>
      </c>
      <c r="E239" s="59">
        <f t="shared" ref="E239:F239" si="76">+E240</f>
        <v>0</v>
      </c>
      <c r="F239" s="59">
        <f t="shared" si="76"/>
        <v>0</v>
      </c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91"/>
      <c r="W239" s="3"/>
      <c r="X239" s="3"/>
      <c r="Y239" s="3"/>
      <c r="Z239" s="3"/>
      <c r="AC239" s="5"/>
      <c r="AD239" s="5"/>
      <c r="AE239" s="5"/>
      <c r="AF239" s="5"/>
      <c r="AG239" s="5"/>
      <c r="AH239" s="5"/>
      <c r="AI239" s="3"/>
      <c r="AJ239" s="3"/>
      <c r="AK239" s="3"/>
      <c r="AL239" s="3"/>
      <c r="AM239" s="3"/>
      <c r="AN239" s="3"/>
      <c r="AO239" s="3"/>
      <c r="AP239" s="3"/>
      <c r="AQ239" s="3"/>
      <c r="AR239" s="6"/>
      <c r="AS239" s="6"/>
      <c r="AT239" s="3"/>
      <c r="AU239" s="3"/>
      <c r="AV239" s="3"/>
      <c r="AW239" s="3"/>
      <c r="BM239" s="3"/>
      <c r="BN239" s="3"/>
    </row>
    <row r="240" spans="1:66" s="4" customFormat="1" ht="43.8" customHeight="1" x14ac:dyDescent="0.25">
      <c r="A240" s="79" t="s">
        <v>393</v>
      </c>
      <c r="B240" s="16" t="s">
        <v>6</v>
      </c>
      <c r="C240" s="86" t="s">
        <v>394</v>
      </c>
      <c r="D240" s="59">
        <f>+D241+D242+D243</f>
        <v>-332593.75</v>
      </c>
      <c r="E240" s="59">
        <f t="shared" ref="E240:F240" si="77">+E241+E242+E243</f>
        <v>0</v>
      </c>
      <c r="F240" s="59">
        <f t="shared" si="77"/>
        <v>0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91"/>
      <c r="W240" s="3"/>
      <c r="X240" s="3"/>
      <c r="Y240" s="3"/>
      <c r="Z240" s="3"/>
      <c r="AC240" s="5"/>
      <c r="AD240" s="5"/>
      <c r="AE240" s="5"/>
      <c r="AF240" s="5"/>
      <c r="AG240" s="5"/>
      <c r="AH240" s="5"/>
      <c r="AI240" s="3"/>
      <c r="AJ240" s="3"/>
      <c r="AK240" s="3"/>
      <c r="AL240" s="3"/>
      <c r="AM240" s="3"/>
      <c r="AN240" s="3"/>
      <c r="AO240" s="3"/>
      <c r="AP240" s="3"/>
      <c r="AQ240" s="3"/>
      <c r="AR240" s="6"/>
      <c r="AS240" s="6"/>
      <c r="AT240" s="3"/>
      <c r="AU240" s="3"/>
      <c r="AV240" s="3"/>
      <c r="AW240" s="3"/>
      <c r="BM240" s="3"/>
      <c r="BN240" s="3"/>
    </row>
    <row r="241" spans="1:66" s="4" customFormat="1" ht="44.4" customHeight="1" x14ac:dyDescent="0.25">
      <c r="A241" s="95" t="s">
        <v>432</v>
      </c>
      <c r="B241" s="16" t="s">
        <v>272</v>
      </c>
      <c r="C241" s="121" t="s">
        <v>433</v>
      </c>
      <c r="D241" s="59">
        <f>-60781.97-167772.58</f>
        <v>-228554.55</v>
      </c>
      <c r="E241" s="59">
        <v>0</v>
      </c>
      <c r="F241" s="59">
        <v>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91"/>
      <c r="W241" s="3"/>
      <c r="X241" s="3"/>
      <c r="Y241" s="3"/>
      <c r="Z241" s="3"/>
      <c r="AC241" s="5"/>
      <c r="AD241" s="5"/>
      <c r="AE241" s="5"/>
      <c r="AF241" s="5"/>
      <c r="AG241" s="5"/>
      <c r="AH241" s="5"/>
      <c r="AI241" s="3"/>
      <c r="AJ241" s="3"/>
      <c r="AK241" s="3"/>
      <c r="AL241" s="3"/>
      <c r="AM241" s="3"/>
      <c r="AN241" s="3"/>
      <c r="AO241" s="3"/>
      <c r="AP241" s="3"/>
      <c r="AQ241" s="3"/>
      <c r="AR241" s="6"/>
      <c r="AS241" s="6"/>
      <c r="AT241" s="3"/>
      <c r="AU241" s="3"/>
      <c r="AV241" s="3"/>
      <c r="AW241" s="3"/>
      <c r="BM241" s="3"/>
      <c r="BN241" s="3"/>
    </row>
    <row r="242" spans="1:66" s="4" customFormat="1" ht="44.4" customHeight="1" x14ac:dyDescent="0.25">
      <c r="A242" s="87" t="s">
        <v>395</v>
      </c>
      <c r="B242" s="16" t="s">
        <v>257</v>
      </c>
      <c r="C242" s="88" t="s">
        <v>396</v>
      </c>
      <c r="D242" s="59">
        <f>-9938-9885.2-61859.3</f>
        <v>-81682.5</v>
      </c>
      <c r="E242" s="59">
        <v>0</v>
      </c>
      <c r="F242" s="59">
        <v>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91"/>
      <c r="W242" s="3"/>
      <c r="X242" s="3"/>
      <c r="Y242" s="3"/>
      <c r="Z242" s="3"/>
      <c r="AC242" s="5"/>
      <c r="AD242" s="5"/>
      <c r="AE242" s="5"/>
      <c r="AF242" s="5"/>
      <c r="AG242" s="5"/>
      <c r="AH242" s="5"/>
      <c r="AI242" s="3"/>
      <c r="AJ242" s="3"/>
      <c r="AK242" s="3"/>
      <c r="AL242" s="3"/>
      <c r="AM242" s="3"/>
      <c r="AN242" s="3"/>
      <c r="AO242" s="3"/>
      <c r="AP242" s="3"/>
      <c r="AQ242" s="3"/>
      <c r="AR242" s="6"/>
      <c r="AS242" s="6"/>
      <c r="AT242" s="3"/>
      <c r="AU242" s="3"/>
      <c r="AV242" s="3"/>
      <c r="AW242" s="3"/>
      <c r="BM242" s="3"/>
      <c r="BN242" s="3"/>
    </row>
    <row r="243" spans="1:66" s="4" customFormat="1" ht="44.4" customHeight="1" x14ac:dyDescent="0.25">
      <c r="A243" s="87" t="s">
        <v>395</v>
      </c>
      <c r="B243" s="16" t="s">
        <v>213</v>
      </c>
      <c r="C243" s="88" t="s">
        <v>396</v>
      </c>
      <c r="D243" s="59">
        <f>-12293.07-5000-5000-63.63</f>
        <v>-22356.7</v>
      </c>
      <c r="E243" s="59">
        <v>0</v>
      </c>
      <c r="F243" s="59">
        <v>0</v>
      </c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91"/>
      <c r="W243" s="3"/>
      <c r="X243" s="3"/>
      <c r="Y243" s="3"/>
      <c r="Z243" s="3"/>
      <c r="AC243" s="5"/>
      <c r="AD243" s="5"/>
      <c r="AE243" s="5"/>
      <c r="AF243" s="5"/>
      <c r="AG243" s="5"/>
      <c r="AH243" s="5"/>
      <c r="AI243" s="3"/>
      <c r="AJ243" s="3"/>
      <c r="AK243" s="3"/>
      <c r="AL243" s="3"/>
      <c r="AM243" s="3"/>
      <c r="AN243" s="3"/>
      <c r="AO243" s="3"/>
      <c r="AP243" s="3"/>
      <c r="AQ243" s="3"/>
      <c r="AR243" s="6"/>
      <c r="AS243" s="6"/>
      <c r="AT243" s="3"/>
      <c r="AU243" s="3"/>
      <c r="AV243" s="3"/>
      <c r="AW243" s="3"/>
      <c r="BM243" s="3"/>
      <c r="BN243" s="3"/>
    </row>
    <row r="244" spans="1:66" s="6" customFormat="1" ht="18" customHeight="1" x14ac:dyDescent="0.25">
      <c r="A244" s="57" t="s">
        <v>299</v>
      </c>
      <c r="B244" s="16"/>
      <c r="C244" s="17"/>
      <c r="D244" s="58">
        <f>+D8+D168</f>
        <v>4203927485.6899996</v>
      </c>
      <c r="E244" s="58">
        <f>+E8+E168</f>
        <v>3738570926.9300003</v>
      </c>
      <c r="F244" s="58">
        <f>+F8+F168</f>
        <v>3516413671.1199999</v>
      </c>
      <c r="V244" s="44"/>
      <c r="AC244" s="5"/>
      <c r="AD244" s="45"/>
      <c r="AE244" s="5"/>
      <c r="AF244" s="5"/>
      <c r="AG244" s="5"/>
      <c r="AH244" s="5"/>
    </row>
    <row r="245" spans="1:66" s="49" customFormat="1" x14ac:dyDescent="0.25">
      <c r="A245" s="123"/>
      <c r="B245" s="46"/>
      <c r="C245" s="47"/>
      <c r="D245" s="46"/>
      <c r="E245" s="46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I245" s="48"/>
      <c r="AJ245" s="48"/>
      <c r="AK245" s="48"/>
      <c r="AL245" s="48"/>
      <c r="AM245" s="48"/>
      <c r="AN245" s="48"/>
      <c r="AO245" s="48"/>
      <c r="AP245" s="48"/>
      <c r="AQ245" s="48"/>
      <c r="AR245" s="48"/>
      <c r="AS245" s="48"/>
      <c r="AT245" s="48"/>
      <c r="AU245" s="48"/>
      <c r="AV245" s="48"/>
      <c r="AW245" s="48"/>
      <c r="BM245" s="48"/>
      <c r="BN245" s="48"/>
    </row>
    <row r="246" spans="1:66" x14ac:dyDescent="0.25">
      <c r="B246" s="50"/>
      <c r="D246" s="64"/>
      <c r="E246" s="64"/>
    </row>
    <row r="247" spans="1:66" ht="17.399999999999999" x14ac:dyDescent="0.3">
      <c r="A247" s="125"/>
      <c r="B247" s="50"/>
      <c r="D247" s="115"/>
      <c r="E247" s="115"/>
      <c r="J247" s="116"/>
      <c r="K247" s="116"/>
    </row>
    <row r="248" spans="1:66" ht="21" customHeight="1" x14ac:dyDescent="0.3">
      <c r="A248" s="117" t="s">
        <v>300</v>
      </c>
      <c r="B248" s="117"/>
      <c r="C248" s="53"/>
      <c r="D248" s="118" t="s">
        <v>336</v>
      </c>
      <c r="E248" s="118"/>
      <c r="F248" s="118"/>
    </row>
    <row r="249" spans="1:66" ht="17.399999999999999" x14ac:dyDescent="0.3">
      <c r="A249" s="94"/>
      <c r="B249" s="90"/>
      <c r="C249" s="53"/>
      <c r="D249" s="54"/>
      <c r="E249" s="54"/>
    </row>
    <row r="250" spans="1:66" ht="17.399999999999999" x14ac:dyDescent="0.3">
      <c r="A250" s="126"/>
      <c r="B250" s="54"/>
      <c r="C250" s="55"/>
      <c r="D250" s="54"/>
      <c r="E250" s="54"/>
      <c r="J250" s="116"/>
      <c r="K250" s="116"/>
    </row>
    <row r="251" spans="1:66" ht="17.399999999999999" x14ac:dyDescent="0.3">
      <c r="A251" s="111" t="s">
        <v>301</v>
      </c>
      <c r="B251" s="111"/>
      <c r="C251" s="55"/>
      <c r="D251" s="118" t="s">
        <v>337</v>
      </c>
      <c r="E251" s="118"/>
      <c r="F251" s="118"/>
    </row>
  </sheetData>
  <mergeCells count="25">
    <mergeCell ref="BK1:BL3"/>
    <mergeCell ref="D3:F3"/>
    <mergeCell ref="A251:B251"/>
    <mergeCell ref="AR81:AR86"/>
    <mergeCell ref="AY211:BD211"/>
    <mergeCell ref="AZ212:BE212"/>
    <mergeCell ref="AY220:BD220"/>
    <mergeCell ref="D247:E247"/>
    <mergeCell ref="J247:K247"/>
    <mergeCell ref="A248:B248"/>
    <mergeCell ref="J250:K250"/>
    <mergeCell ref="D248:F248"/>
    <mergeCell ref="D251:F251"/>
    <mergeCell ref="T8:V8"/>
    <mergeCell ref="T10:V10"/>
    <mergeCell ref="AM19:AM27"/>
    <mergeCell ref="L81:L86"/>
    <mergeCell ref="AM81:AM85"/>
    <mergeCell ref="D1:F2"/>
    <mergeCell ref="A6:A7"/>
    <mergeCell ref="B6:C6"/>
    <mergeCell ref="D6:D7"/>
    <mergeCell ref="E6:E7"/>
    <mergeCell ref="F6:F7"/>
    <mergeCell ref="A4:F4"/>
  </mergeCells>
  <pageMargins left="1.1811023622047245" right="0.39370078740157483" top="0.59055118110236227" bottom="0.78740157480314965" header="0" footer="0"/>
  <pageSetup paperSize="9" scale="63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 на 2023(март)</vt:lpstr>
      <vt:lpstr>'Прил 1 на 2023(март)'!Заголовки_для_печати</vt:lpstr>
      <vt:lpstr>'Прил 1 на 2023(март)'!Область_печати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2023-03-15T02:59:14Z</dcterms:modified>
</cp:coreProperties>
</file>