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68" windowWidth="14808" windowHeight="7656"/>
  </bookViews>
  <sheets>
    <sheet name="Прил исполнении 2023" sheetId="3" r:id="rId1"/>
  </sheets>
  <definedNames>
    <definedName name="_xlnm._FilterDatabase" localSheetId="0" hidden="1">'Прил исполнении 2023'!$A$11:$G$340</definedName>
    <definedName name="_xlnm.Print_Titles" localSheetId="0">'Прил исполнении 2023'!$7:$9</definedName>
    <definedName name="_xlnm.Print_Area" localSheetId="0">'Прил исполнении 2023'!$A$1:$BO$347</definedName>
  </definedNames>
  <calcPr calcId="152511"/>
</workbook>
</file>

<file path=xl/calcChain.xml><?xml version="1.0" encoding="utf-8"?>
<calcChain xmlns="http://schemas.openxmlformats.org/spreadsheetml/2006/main">
  <c r="E313" i="3" l="1"/>
  <c r="D313" i="3"/>
  <c r="D245" i="3" s="1"/>
  <c r="D244" i="3" s="1"/>
  <c r="E320" i="3"/>
  <c r="D320" i="3"/>
  <c r="E321" i="3"/>
  <c r="D321" i="3"/>
  <c r="E199" i="3"/>
  <c r="D199" i="3"/>
  <c r="E106" i="3"/>
  <c r="E103" i="3" s="1"/>
  <c r="E73" i="3"/>
  <c r="E72" i="3" s="1"/>
  <c r="E70" i="3"/>
  <c r="E69" i="3" s="1"/>
  <c r="E67" i="3"/>
  <c r="E66" i="3" s="1"/>
  <c r="E33" i="3"/>
  <c r="G339" i="3" l="1"/>
  <c r="G331" i="3"/>
  <c r="G326" i="3"/>
  <c r="G323" i="3"/>
  <c r="G322" i="3"/>
  <c r="G319" i="3"/>
  <c r="G305" i="3"/>
  <c r="G304" i="3"/>
  <c r="G303" i="3"/>
  <c r="G301" i="3"/>
  <c r="G300" i="3"/>
  <c r="G299" i="3"/>
  <c r="G297" i="3"/>
  <c r="G296" i="3"/>
  <c r="G292" i="3"/>
  <c r="G291" i="3"/>
  <c r="G290" i="3"/>
  <c r="G289" i="3"/>
  <c r="G287" i="3"/>
  <c r="G286" i="3"/>
  <c r="G284" i="3"/>
  <c r="G283" i="3"/>
  <c r="G282" i="3"/>
  <c r="G281" i="3"/>
  <c r="G280" i="3"/>
  <c r="G275" i="3"/>
  <c r="G269" i="3"/>
  <c r="G263" i="3"/>
  <c r="G257" i="3"/>
  <c r="G255" i="3"/>
  <c r="G248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1" i="3"/>
  <c r="G220" i="3"/>
  <c r="G217" i="3"/>
  <c r="G203" i="3"/>
  <c r="G197" i="3"/>
  <c r="G194" i="3"/>
  <c r="G192" i="3"/>
  <c r="G185" i="3"/>
  <c r="G181" i="3"/>
  <c r="G176" i="3"/>
  <c r="G175" i="3"/>
  <c r="G173" i="3"/>
  <c r="G172" i="3"/>
  <c r="G170" i="3"/>
  <c r="G168" i="3"/>
  <c r="G162" i="3"/>
  <c r="G160" i="3"/>
  <c r="G158" i="3"/>
  <c r="G156" i="3"/>
  <c r="G154" i="3"/>
  <c r="G136" i="3"/>
  <c r="G133" i="3"/>
  <c r="G129" i="3"/>
  <c r="G124" i="3"/>
  <c r="G123" i="3"/>
  <c r="G120" i="3"/>
  <c r="G88" i="3"/>
  <c r="G81" i="3"/>
  <c r="G55" i="3"/>
  <c r="G40" i="3"/>
  <c r="G38" i="3"/>
  <c r="F339" i="3"/>
  <c r="F331" i="3"/>
  <c r="F326" i="3"/>
  <c r="F323" i="3"/>
  <c r="F322" i="3"/>
  <c r="F319" i="3"/>
  <c r="F305" i="3"/>
  <c r="F304" i="3"/>
  <c r="F303" i="3"/>
  <c r="F301" i="3"/>
  <c r="F300" i="3"/>
  <c r="F299" i="3"/>
  <c r="F297" i="3"/>
  <c r="F296" i="3"/>
  <c r="F292" i="3"/>
  <c r="F291" i="3"/>
  <c r="F290" i="3"/>
  <c r="F289" i="3"/>
  <c r="F287" i="3"/>
  <c r="F286" i="3"/>
  <c r="F284" i="3"/>
  <c r="F283" i="3"/>
  <c r="F282" i="3"/>
  <c r="F281" i="3"/>
  <c r="F280" i="3"/>
  <c r="F275" i="3"/>
  <c r="F269" i="3"/>
  <c r="F263" i="3"/>
  <c r="F257" i="3"/>
  <c r="F255" i="3"/>
  <c r="F248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1" i="3"/>
  <c r="F220" i="3"/>
  <c r="F217" i="3"/>
  <c r="F214" i="3"/>
  <c r="F213" i="3"/>
  <c r="F212" i="3"/>
  <c r="F203" i="3"/>
  <c r="F202" i="3"/>
  <c r="F201" i="3"/>
  <c r="F200" i="3"/>
  <c r="F197" i="3"/>
  <c r="F194" i="3"/>
  <c r="F192" i="3"/>
  <c r="F185" i="3"/>
  <c r="F182" i="3"/>
  <c r="F181" i="3"/>
  <c r="F176" i="3"/>
  <c r="F175" i="3"/>
  <c r="F173" i="3"/>
  <c r="F172" i="3"/>
  <c r="F170" i="3"/>
  <c r="F168" i="3"/>
  <c r="F162" i="3"/>
  <c r="F160" i="3"/>
  <c r="F158" i="3"/>
  <c r="F156" i="3"/>
  <c r="F154" i="3"/>
  <c r="F136" i="3"/>
  <c r="F133" i="3"/>
  <c r="F129" i="3"/>
  <c r="F124" i="3"/>
  <c r="F123" i="3"/>
  <c r="F120" i="3"/>
  <c r="F108" i="3"/>
  <c r="F101" i="3"/>
  <c r="F98" i="3"/>
  <c r="F95" i="3"/>
  <c r="F94" i="3"/>
  <c r="F88" i="3"/>
  <c r="F81" i="3"/>
  <c r="F76" i="3"/>
  <c r="F62" i="3"/>
  <c r="F55" i="3"/>
  <c r="F40" i="3"/>
  <c r="F38" i="3"/>
  <c r="F35" i="3"/>
  <c r="E99" i="3" l="1"/>
  <c r="E96" i="3"/>
  <c r="E92" i="3"/>
  <c r="E87" i="3"/>
  <c r="E135" i="3"/>
  <c r="D135" i="3"/>
  <c r="E134" i="3"/>
  <c r="D134" i="3"/>
  <c r="E208" i="3"/>
  <c r="G199" i="3" l="1"/>
  <c r="F199" i="3"/>
  <c r="F134" i="3"/>
  <c r="G134" i="3"/>
  <c r="G135" i="3"/>
  <c r="F135" i="3"/>
  <c r="E86" i="3"/>
  <c r="E91" i="3"/>
  <c r="E198" i="3"/>
  <c r="E90" i="3" l="1"/>
  <c r="D75" i="3"/>
  <c r="D74" i="3" s="1"/>
  <c r="E61" i="3" l="1"/>
  <c r="D61" i="3"/>
  <c r="D60" i="3" s="1"/>
  <c r="D59" i="3" s="1"/>
  <c r="F61" i="3" l="1"/>
  <c r="E60" i="3"/>
  <c r="F60" i="3" s="1"/>
  <c r="E59" i="3" l="1"/>
  <c r="F59" i="3" s="1"/>
  <c r="E180" i="3" l="1"/>
  <c r="E167" i="3"/>
  <c r="E161" i="3"/>
  <c r="E159" i="3"/>
  <c r="E157" i="3"/>
  <c r="E155" i="3"/>
  <c r="E188" i="3"/>
  <c r="E193" i="3"/>
  <c r="E196" i="3"/>
  <c r="E211" i="3"/>
  <c r="D211" i="3"/>
  <c r="E122" i="3"/>
  <c r="E121" i="3"/>
  <c r="E75" i="3"/>
  <c r="F75" i="3" s="1"/>
  <c r="F211" i="3" l="1"/>
  <c r="E184" i="3"/>
  <c r="E74" i="3"/>
  <c r="F74" i="3" s="1"/>
  <c r="E119" i="3"/>
  <c r="E222" i="3"/>
  <c r="E250" i="3"/>
  <c r="E253" i="3"/>
  <c r="E261" i="3"/>
  <c r="E267" i="3"/>
  <c r="E276" i="3"/>
  <c r="E277" i="3"/>
  <c r="E306" i="3"/>
  <c r="E308" i="3"/>
  <c r="E311" i="3"/>
  <c r="E338" i="3"/>
  <c r="E337" i="3"/>
  <c r="E336" i="3"/>
  <c r="E333" i="3"/>
  <c r="E332" i="3"/>
  <c r="D259" i="3"/>
  <c r="E78" i="3"/>
  <c r="G259" i="3" l="1"/>
  <c r="F259" i="3"/>
  <c r="F321" i="3"/>
  <c r="G321" i="3"/>
  <c r="E179" i="3"/>
  <c r="E335" i="3"/>
  <c r="E307" i="3"/>
  <c r="E249" i="3"/>
  <c r="E219" i="3"/>
  <c r="E330" i="3"/>
  <c r="D18" i="3"/>
  <c r="D20" i="3"/>
  <c r="F18" i="3" l="1"/>
  <c r="G18" i="3"/>
  <c r="G20" i="3"/>
  <c r="F20" i="3"/>
  <c r="E334" i="3"/>
  <c r="E329" i="3"/>
  <c r="E218" i="3"/>
  <c r="D34" i="3"/>
  <c r="D33" i="3" s="1"/>
  <c r="D14" i="3"/>
  <c r="F14" i="3" l="1"/>
  <c r="G14" i="3"/>
  <c r="F34" i="3"/>
  <c r="G34" i="3"/>
  <c r="E328" i="3"/>
  <c r="D315" i="3"/>
  <c r="D317" i="3"/>
  <c r="G315" i="3" l="1"/>
  <c r="F315" i="3"/>
  <c r="G317" i="3"/>
  <c r="F317" i="3"/>
  <c r="F33" i="3"/>
  <c r="G33" i="3"/>
  <c r="E325" i="3"/>
  <c r="D325" i="3"/>
  <c r="D324" i="3" s="1"/>
  <c r="G325" i="3" l="1"/>
  <c r="F325" i="3"/>
  <c r="E324" i="3"/>
  <c r="D333" i="3"/>
  <c r="D338" i="3"/>
  <c r="G338" i="3" l="1"/>
  <c r="F338" i="3"/>
  <c r="F324" i="3"/>
  <c r="G324" i="3"/>
  <c r="F333" i="3"/>
  <c r="G333" i="3"/>
  <c r="D250" i="3"/>
  <c r="D164" i="3"/>
  <c r="D149" i="3"/>
  <c r="D209" i="3"/>
  <c r="D166" i="3"/>
  <c r="D152" i="3"/>
  <c r="D151" i="3"/>
  <c r="D67" i="3"/>
  <c r="D58" i="3"/>
  <c r="D148" i="3"/>
  <c r="D146" i="3"/>
  <c r="D145" i="3"/>
  <c r="D15" i="3"/>
  <c r="D50" i="3"/>
  <c r="D16" i="3"/>
  <c r="D19" i="3"/>
  <c r="D44" i="3"/>
  <c r="D17" i="3"/>
  <c r="G44" i="3" l="1"/>
  <c r="F44" i="3"/>
  <c r="G16" i="3"/>
  <c r="F16" i="3"/>
  <c r="G15" i="3"/>
  <c r="F15" i="3"/>
  <c r="F146" i="3"/>
  <c r="G146" i="3"/>
  <c r="G58" i="3"/>
  <c r="F58" i="3"/>
  <c r="G151" i="3"/>
  <c r="F151" i="3"/>
  <c r="F166" i="3"/>
  <c r="G166" i="3"/>
  <c r="G149" i="3"/>
  <c r="F149" i="3"/>
  <c r="F250" i="3"/>
  <c r="G250" i="3"/>
  <c r="G17" i="3"/>
  <c r="F17" i="3"/>
  <c r="G19" i="3"/>
  <c r="F19" i="3"/>
  <c r="G50" i="3"/>
  <c r="F50" i="3"/>
  <c r="G145" i="3"/>
  <c r="F145" i="3"/>
  <c r="G148" i="3"/>
  <c r="F148" i="3"/>
  <c r="F67" i="3"/>
  <c r="G67" i="3"/>
  <c r="G152" i="3"/>
  <c r="F152" i="3"/>
  <c r="G209" i="3"/>
  <c r="F209" i="3"/>
  <c r="G164" i="3"/>
  <c r="F164" i="3"/>
  <c r="D208" i="3"/>
  <c r="D204" i="3"/>
  <c r="D198" i="3" s="1"/>
  <c r="D187" i="3"/>
  <c r="D186" i="3"/>
  <c r="D141" i="3"/>
  <c r="D139" i="3"/>
  <c r="D122" i="3"/>
  <c r="D116" i="3"/>
  <c r="D111" i="3"/>
  <c r="D100" i="3"/>
  <c r="D97" i="3"/>
  <c r="D93" i="3"/>
  <c r="D79" i="3"/>
  <c r="D73" i="3"/>
  <c r="D188" i="3"/>
  <c r="D189" i="3"/>
  <c r="E195" i="3"/>
  <c r="D183" i="3"/>
  <c r="E39" i="3"/>
  <c r="D39" i="3"/>
  <c r="D52" i="3"/>
  <c r="D47" i="3"/>
  <c r="D42" i="3"/>
  <c r="D126" i="3"/>
  <c r="D125" i="3"/>
  <c r="D121" i="3"/>
  <c r="G125" i="3" l="1"/>
  <c r="F125" i="3"/>
  <c r="G42" i="3"/>
  <c r="F42" i="3"/>
  <c r="G52" i="3"/>
  <c r="F52" i="3"/>
  <c r="G39" i="3"/>
  <c r="F39" i="3"/>
  <c r="F188" i="3"/>
  <c r="G188" i="3"/>
  <c r="G79" i="3"/>
  <c r="F79" i="3"/>
  <c r="G97" i="3"/>
  <c r="F97" i="3"/>
  <c r="G111" i="3"/>
  <c r="F111" i="3"/>
  <c r="F122" i="3"/>
  <c r="G122" i="3"/>
  <c r="G141" i="3"/>
  <c r="F141" i="3"/>
  <c r="G187" i="3"/>
  <c r="F187" i="3"/>
  <c r="F208" i="3"/>
  <c r="G208" i="3"/>
  <c r="F121" i="3"/>
  <c r="G121" i="3"/>
  <c r="F126" i="3"/>
  <c r="G126" i="3"/>
  <c r="G47" i="3"/>
  <c r="F47" i="3"/>
  <c r="G183" i="3"/>
  <c r="F183" i="3"/>
  <c r="F189" i="3"/>
  <c r="G189" i="3"/>
  <c r="G73" i="3"/>
  <c r="F73" i="3"/>
  <c r="G93" i="3"/>
  <c r="F93" i="3"/>
  <c r="G100" i="3"/>
  <c r="F100" i="3"/>
  <c r="F116" i="3"/>
  <c r="G116" i="3"/>
  <c r="G139" i="3"/>
  <c r="F139" i="3"/>
  <c r="G186" i="3"/>
  <c r="F186" i="3"/>
  <c r="G204" i="3"/>
  <c r="F204" i="3"/>
  <c r="D92" i="3"/>
  <c r="D99" i="3"/>
  <c r="D96" i="3"/>
  <c r="D184" i="3"/>
  <c r="D180" i="3"/>
  <c r="D302" i="3"/>
  <c r="F302" i="3" l="1"/>
  <c r="G302" i="3"/>
  <c r="F198" i="3"/>
  <c r="G198" i="3"/>
  <c r="F96" i="3"/>
  <c r="G96" i="3"/>
  <c r="G92" i="3"/>
  <c r="F92" i="3"/>
  <c r="F180" i="3"/>
  <c r="G180" i="3"/>
  <c r="F184" i="3"/>
  <c r="G184" i="3"/>
  <c r="G99" i="3"/>
  <c r="F99" i="3"/>
  <c r="D91" i="3"/>
  <c r="D279" i="3"/>
  <c r="F91" i="3" l="1"/>
  <c r="G91" i="3"/>
  <c r="G279" i="3"/>
  <c r="F279" i="3"/>
  <c r="D90" i="3"/>
  <c r="D267" i="3"/>
  <c r="D312" i="3"/>
  <c r="D311" i="3"/>
  <c r="G312" i="3" l="1"/>
  <c r="F312" i="3"/>
  <c r="F90" i="3"/>
  <c r="G90" i="3"/>
  <c r="F311" i="3"/>
  <c r="G311" i="3"/>
  <c r="F267" i="3"/>
  <c r="G267" i="3"/>
  <c r="D278" i="3"/>
  <c r="F278" i="3" l="1"/>
  <c r="G278" i="3"/>
  <c r="D271" i="3"/>
  <c r="G271" i="3" l="1"/>
  <c r="F271" i="3"/>
  <c r="D285" i="3"/>
  <c r="G285" i="3" l="1"/>
  <c r="F285" i="3"/>
  <c r="D253" i="3"/>
  <c r="F253" i="3" l="1"/>
  <c r="G253" i="3"/>
  <c r="D252" i="3"/>
  <c r="D26" i="3" l="1"/>
  <c r="D30" i="3"/>
  <c r="D28" i="3"/>
  <c r="D24" i="3"/>
  <c r="G28" i="3" l="1"/>
  <c r="F28" i="3"/>
  <c r="F26" i="3"/>
  <c r="G26" i="3"/>
  <c r="G24" i="3"/>
  <c r="F24" i="3"/>
  <c r="F30" i="3"/>
  <c r="G30" i="3"/>
  <c r="D276" i="3"/>
  <c r="D308" i="3"/>
  <c r="D306" i="3"/>
  <c r="D274" i="3"/>
  <c r="G306" i="3" l="1"/>
  <c r="F306" i="3"/>
  <c r="F276" i="3"/>
  <c r="G276" i="3"/>
  <c r="G274" i="3"/>
  <c r="F274" i="3"/>
  <c r="F308" i="3"/>
  <c r="G308" i="3"/>
  <c r="D161" i="3"/>
  <c r="D159" i="3"/>
  <c r="D157" i="3"/>
  <c r="D155" i="3"/>
  <c r="D167" i="3"/>
  <c r="G167" i="3" l="1"/>
  <c r="F167" i="3"/>
  <c r="F157" i="3"/>
  <c r="G157" i="3"/>
  <c r="F161" i="3"/>
  <c r="G161" i="3"/>
  <c r="G155" i="3"/>
  <c r="F155" i="3"/>
  <c r="G159" i="3"/>
  <c r="F159" i="3"/>
  <c r="D70" i="3"/>
  <c r="D128" i="3"/>
  <c r="D127" i="3"/>
  <c r="G127" i="3" l="1"/>
  <c r="F127" i="3"/>
  <c r="F70" i="3"/>
  <c r="G70" i="3"/>
  <c r="G128" i="3"/>
  <c r="F128" i="3"/>
  <c r="D119" i="3"/>
  <c r="F119" i="3" l="1"/>
  <c r="G119" i="3"/>
  <c r="G320" i="3"/>
  <c r="F320" i="3"/>
  <c r="D84" i="3"/>
  <c r="G84" i="3" l="1"/>
  <c r="F84" i="3"/>
  <c r="D196" i="3"/>
  <c r="F196" i="3" l="1"/>
  <c r="G196" i="3"/>
  <c r="D195" i="3"/>
  <c r="E191" i="3"/>
  <c r="D107" i="3"/>
  <c r="D105" i="3"/>
  <c r="D104" i="3"/>
  <c r="D193" i="3"/>
  <c r="G104" i="3" l="1"/>
  <c r="F104" i="3"/>
  <c r="G107" i="3"/>
  <c r="F107" i="3"/>
  <c r="F195" i="3"/>
  <c r="G195" i="3"/>
  <c r="G193" i="3"/>
  <c r="F193" i="3"/>
  <c r="G105" i="3"/>
  <c r="F105" i="3"/>
  <c r="E190" i="3"/>
  <c r="D191" i="3"/>
  <c r="F191" i="3" s="1"/>
  <c r="D337" i="3"/>
  <c r="G191" i="3" l="1"/>
  <c r="F337" i="3"/>
  <c r="G337" i="3"/>
  <c r="D179" i="3"/>
  <c r="E80" i="3"/>
  <c r="D80" i="3"/>
  <c r="D78" i="3"/>
  <c r="F179" i="3" l="1"/>
  <c r="G179" i="3"/>
  <c r="F78" i="3"/>
  <c r="G78" i="3"/>
  <c r="G80" i="3"/>
  <c r="F80" i="3"/>
  <c r="D77" i="3"/>
  <c r="E77" i="3"/>
  <c r="G77" i="3" l="1"/>
  <c r="F77" i="3"/>
  <c r="D190" i="3"/>
  <c r="F190" i="3" l="1"/>
  <c r="G190" i="3"/>
  <c r="E318" i="3"/>
  <c r="D318" i="3"/>
  <c r="E256" i="3"/>
  <c r="D256" i="3"/>
  <c r="E254" i="3"/>
  <c r="D254" i="3"/>
  <c r="E252" i="3"/>
  <c r="F252" i="3" l="1"/>
  <c r="G252" i="3"/>
  <c r="G254" i="3"/>
  <c r="F254" i="3"/>
  <c r="G256" i="3"/>
  <c r="F256" i="3"/>
  <c r="F318" i="3"/>
  <c r="G318" i="3"/>
  <c r="E327" i="3"/>
  <c r="D332" i="3"/>
  <c r="D336" i="3"/>
  <c r="F336" i="3" l="1"/>
  <c r="G336" i="3"/>
  <c r="F332" i="3"/>
  <c r="G332" i="3"/>
  <c r="D335" i="3"/>
  <c r="D330" i="3"/>
  <c r="E314" i="3"/>
  <c r="D314" i="3"/>
  <c r="D316" i="3"/>
  <c r="E316" i="3"/>
  <c r="F314" i="3" l="1"/>
  <c r="G314" i="3"/>
  <c r="F335" i="3"/>
  <c r="G335" i="3"/>
  <c r="G316" i="3"/>
  <c r="F316" i="3"/>
  <c r="F330" i="3"/>
  <c r="G330" i="3"/>
  <c r="D334" i="3"/>
  <c r="D329" i="3"/>
  <c r="E262" i="3"/>
  <c r="D262" i="3"/>
  <c r="E268" i="3"/>
  <c r="D268" i="3"/>
  <c r="E266" i="3"/>
  <c r="D266" i="3"/>
  <c r="D261" i="3"/>
  <c r="E265" i="3"/>
  <c r="D265" i="3"/>
  <c r="F261" i="3" l="1"/>
  <c r="G261" i="3"/>
  <c r="F266" i="3"/>
  <c r="G266" i="3"/>
  <c r="G268" i="3"/>
  <c r="F268" i="3"/>
  <c r="G262" i="3"/>
  <c r="F262" i="3"/>
  <c r="G334" i="3"/>
  <c r="F334" i="3"/>
  <c r="G265" i="3"/>
  <c r="F265" i="3"/>
  <c r="F329" i="3"/>
  <c r="G329" i="3"/>
  <c r="G313" i="3"/>
  <c r="F313" i="3"/>
  <c r="D328" i="3"/>
  <c r="D249" i="3"/>
  <c r="G328" i="3" l="1"/>
  <c r="F328" i="3"/>
  <c r="F249" i="3"/>
  <c r="G249" i="3"/>
  <c r="D327" i="3"/>
  <c r="E13" i="3"/>
  <c r="D13" i="3"/>
  <c r="D12" i="3" s="1"/>
  <c r="F327" i="3" l="1"/>
  <c r="G327" i="3"/>
  <c r="G13" i="3"/>
  <c r="F13" i="3"/>
  <c r="D118" i="3"/>
  <c r="D222" i="3"/>
  <c r="G222" i="3" l="1"/>
  <c r="F222" i="3"/>
  <c r="D219" i="3"/>
  <c r="F219" i="3" l="1"/>
  <c r="G219" i="3"/>
  <c r="D218" i="3"/>
  <c r="D298" i="3"/>
  <c r="E270" i="3"/>
  <c r="D270" i="3"/>
  <c r="G270" i="3" l="1"/>
  <c r="F270" i="3"/>
  <c r="F218" i="3"/>
  <c r="G218" i="3"/>
  <c r="F298" i="3"/>
  <c r="G298" i="3"/>
  <c r="D277" i="3"/>
  <c r="F277" i="3" l="1"/>
  <c r="G277" i="3"/>
  <c r="E273" i="3"/>
  <c r="D178" i="3"/>
  <c r="D207" i="3"/>
  <c r="D89" i="3"/>
  <c r="G207" i="3" l="1"/>
  <c r="F207" i="3"/>
  <c r="G89" i="3"/>
  <c r="F89" i="3"/>
  <c r="F178" i="3"/>
  <c r="G178" i="3"/>
  <c r="D87" i="3"/>
  <c r="D37" i="3"/>
  <c r="F87" i="3" l="1"/>
  <c r="G87" i="3"/>
  <c r="G37" i="3"/>
  <c r="F37" i="3"/>
  <c r="D86" i="3"/>
  <c r="D36" i="3"/>
  <c r="D32" i="3" s="1"/>
  <c r="F86" i="3" l="1"/>
  <c r="G86" i="3"/>
  <c r="E247" i="3"/>
  <c r="D247" i="3"/>
  <c r="D246" i="3" s="1"/>
  <c r="D165" i="3"/>
  <c r="E165" i="3"/>
  <c r="D106" i="3"/>
  <c r="D103" i="3" s="1"/>
  <c r="G106" i="3" l="1"/>
  <c r="F106" i="3"/>
  <c r="G247" i="3"/>
  <c r="F247" i="3"/>
  <c r="G165" i="3"/>
  <c r="F165" i="3"/>
  <c r="E246" i="3"/>
  <c r="E41" i="3"/>
  <c r="D41" i="3"/>
  <c r="G41" i="3" l="1"/>
  <c r="F41" i="3"/>
  <c r="G103" i="3"/>
  <c r="F103" i="3"/>
  <c r="G246" i="3"/>
  <c r="F246" i="3"/>
  <c r="D295" i="3"/>
  <c r="D294" i="3" s="1"/>
  <c r="D288" i="3"/>
  <c r="F288" i="3" l="1"/>
  <c r="G288" i="3"/>
  <c r="D273" i="3"/>
  <c r="E150" i="3"/>
  <c r="D150" i="3"/>
  <c r="E147" i="3"/>
  <c r="D147" i="3"/>
  <c r="E144" i="3"/>
  <c r="D144" i="3"/>
  <c r="F273" i="3" l="1"/>
  <c r="G273" i="3"/>
  <c r="G144" i="3"/>
  <c r="F144" i="3"/>
  <c r="G147" i="3"/>
  <c r="F147" i="3"/>
  <c r="F150" i="3"/>
  <c r="G150" i="3"/>
  <c r="E310" i="3"/>
  <c r="D310" i="3"/>
  <c r="D309" i="3" s="1"/>
  <c r="D307" i="3"/>
  <c r="E295" i="3"/>
  <c r="E272" i="3"/>
  <c r="D272" i="3"/>
  <c r="E264" i="3"/>
  <c r="D264" i="3"/>
  <c r="D260" i="3"/>
  <c r="E260" i="3"/>
  <c r="E258" i="3"/>
  <c r="D258" i="3"/>
  <c r="E216" i="3"/>
  <c r="D216" i="3"/>
  <c r="D215" i="3" s="1"/>
  <c r="D210" i="3" s="1"/>
  <c r="E206" i="3"/>
  <c r="D206" i="3"/>
  <c r="D205" i="3" s="1"/>
  <c r="E177" i="3"/>
  <c r="D177" i="3"/>
  <c r="E174" i="3"/>
  <c r="D174" i="3"/>
  <c r="E171" i="3"/>
  <c r="D171" i="3"/>
  <c r="E169" i="3"/>
  <c r="D169" i="3"/>
  <c r="E163" i="3"/>
  <c r="D163" i="3"/>
  <c r="E153" i="3"/>
  <c r="D153" i="3"/>
  <c r="E140" i="3"/>
  <c r="D140" i="3"/>
  <c r="E138" i="3"/>
  <c r="D138" i="3"/>
  <c r="E132" i="3"/>
  <c r="D132" i="3"/>
  <c r="D131" i="3" s="1"/>
  <c r="E118" i="3"/>
  <c r="D117" i="3"/>
  <c r="E115" i="3"/>
  <c r="D115" i="3"/>
  <c r="D114" i="3" s="1"/>
  <c r="D113" i="3" s="1"/>
  <c r="E110" i="3"/>
  <c r="D110" i="3"/>
  <c r="D109" i="3" s="1"/>
  <c r="D102" i="3" s="1"/>
  <c r="E83" i="3"/>
  <c r="D83" i="3"/>
  <c r="D82" i="3" s="1"/>
  <c r="D72" i="3"/>
  <c r="D69" i="3"/>
  <c r="D66" i="3"/>
  <c r="E57" i="3"/>
  <c r="D57" i="3"/>
  <c r="D56" i="3" s="1"/>
  <c r="E54" i="3"/>
  <c r="D54" i="3"/>
  <c r="E51" i="3"/>
  <c r="D51" i="3"/>
  <c r="E49" i="3"/>
  <c r="D49" i="3"/>
  <c r="E46" i="3"/>
  <c r="D46" i="3"/>
  <c r="E43" i="3"/>
  <c r="D43" i="3"/>
  <c r="D31" i="3" s="1"/>
  <c r="E36" i="3"/>
  <c r="E32" i="3" s="1"/>
  <c r="E29" i="3"/>
  <c r="D29" i="3"/>
  <c r="E27" i="3"/>
  <c r="D27" i="3"/>
  <c r="E25" i="3"/>
  <c r="D25" i="3"/>
  <c r="D23" i="3"/>
  <c r="E23" i="3"/>
  <c r="E12" i="3"/>
  <c r="G12" i="3" l="1"/>
  <c r="F12" i="3"/>
  <c r="G25" i="3"/>
  <c r="F25" i="3"/>
  <c r="G27" i="3"/>
  <c r="F27" i="3"/>
  <c r="G29" i="3"/>
  <c r="F29" i="3"/>
  <c r="G66" i="3"/>
  <c r="F66" i="3"/>
  <c r="G72" i="3"/>
  <c r="F72" i="3"/>
  <c r="G83" i="3"/>
  <c r="F83" i="3"/>
  <c r="G110" i="3"/>
  <c r="F110" i="3"/>
  <c r="G115" i="3"/>
  <c r="F115" i="3"/>
  <c r="G118" i="3"/>
  <c r="F118" i="3"/>
  <c r="F132" i="3"/>
  <c r="G132" i="3"/>
  <c r="F138" i="3"/>
  <c r="G138" i="3"/>
  <c r="G140" i="3"/>
  <c r="F140" i="3"/>
  <c r="G153" i="3"/>
  <c r="F153" i="3"/>
  <c r="G163" i="3"/>
  <c r="F163" i="3"/>
  <c r="G169" i="3"/>
  <c r="F169" i="3"/>
  <c r="G171" i="3"/>
  <c r="F171" i="3"/>
  <c r="G174" i="3"/>
  <c r="F174" i="3"/>
  <c r="G177" i="3"/>
  <c r="F177" i="3"/>
  <c r="F206" i="3"/>
  <c r="G206" i="3"/>
  <c r="G216" i="3"/>
  <c r="F216" i="3"/>
  <c r="G258" i="3"/>
  <c r="F258" i="3"/>
  <c r="G264" i="3"/>
  <c r="F264" i="3"/>
  <c r="F272" i="3"/>
  <c r="G272" i="3"/>
  <c r="F307" i="3"/>
  <c r="G307" i="3"/>
  <c r="F310" i="3"/>
  <c r="G310" i="3"/>
  <c r="G23" i="3"/>
  <c r="F23" i="3"/>
  <c r="G36" i="3"/>
  <c r="F36" i="3"/>
  <c r="G43" i="3"/>
  <c r="F43" i="3"/>
  <c r="G46" i="3"/>
  <c r="F46" i="3"/>
  <c r="G49" i="3"/>
  <c r="F49" i="3"/>
  <c r="G51" i="3"/>
  <c r="F51" i="3"/>
  <c r="G54" i="3"/>
  <c r="F54" i="3"/>
  <c r="G57" i="3"/>
  <c r="F57" i="3"/>
  <c r="F69" i="3"/>
  <c r="G69" i="3"/>
  <c r="F260" i="3"/>
  <c r="G260" i="3"/>
  <c r="G295" i="3"/>
  <c r="F295" i="3"/>
  <c r="D68" i="3"/>
  <c r="D65" i="3"/>
  <c r="D71" i="3"/>
  <c r="D112" i="3"/>
  <c r="E143" i="3"/>
  <c r="E117" i="3"/>
  <c r="E109" i="3"/>
  <c r="E205" i="3"/>
  <c r="E48" i="3"/>
  <c r="E294" i="3"/>
  <c r="E309" i="3"/>
  <c r="E114" i="3"/>
  <c r="E131" i="3"/>
  <c r="E215" i="3"/>
  <c r="E82" i="3"/>
  <c r="E71" i="3"/>
  <c r="E68" i="3"/>
  <c r="E65" i="3"/>
  <c r="E56" i="3"/>
  <c r="D85" i="3"/>
  <c r="D143" i="3"/>
  <c r="D142" i="3" s="1"/>
  <c r="D22" i="3"/>
  <c r="D21" i="3" s="1"/>
  <c r="E102" i="3"/>
  <c r="D251" i="3"/>
  <c r="E251" i="3"/>
  <c r="D48" i="3"/>
  <c r="D45" i="3" s="1"/>
  <c r="D137" i="3"/>
  <c r="D130" i="3" s="1"/>
  <c r="D293" i="3"/>
  <c r="E22" i="3"/>
  <c r="E137" i="3"/>
  <c r="D53" i="3"/>
  <c r="D64" i="3" l="1"/>
  <c r="D63" i="3" s="1"/>
  <c r="D11" i="3" s="1"/>
  <c r="F22" i="3"/>
  <c r="G22" i="3"/>
  <c r="G65" i="3"/>
  <c r="F65" i="3"/>
  <c r="G71" i="3"/>
  <c r="F71" i="3"/>
  <c r="G215" i="3"/>
  <c r="F215" i="3"/>
  <c r="G114" i="3"/>
  <c r="F114" i="3"/>
  <c r="G294" i="3"/>
  <c r="F294" i="3"/>
  <c r="G205" i="3"/>
  <c r="F205" i="3"/>
  <c r="G117" i="3"/>
  <c r="F117" i="3"/>
  <c r="G32" i="3"/>
  <c r="F32" i="3"/>
  <c r="G137" i="3"/>
  <c r="F137" i="3"/>
  <c r="G251" i="3"/>
  <c r="F251" i="3"/>
  <c r="G102" i="3"/>
  <c r="F102" i="3"/>
  <c r="G56" i="3"/>
  <c r="F56" i="3"/>
  <c r="G68" i="3"/>
  <c r="F68" i="3"/>
  <c r="G82" i="3"/>
  <c r="F82" i="3"/>
  <c r="G131" i="3"/>
  <c r="F131" i="3"/>
  <c r="G309" i="3"/>
  <c r="F309" i="3"/>
  <c r="G48" i="3"/>
  <c r="F48" i="3"/>
  <c r="G109" i="3"/>
  <c r="F109" i="3"/>
  <c r="G143" i="3"/>
  <c r="F143" i="3"/>
  <c r="E53" i="3"/>
  <c r="E142" i="3"/>
  <c r="E210" i="3"/>
  <c r="E31" i="3"/>
  <c r="E64" i="3"/>
  <c r="E21" i="3"/>
  <c r="E130" i="3"/>
  <c r="E113" i="3"/>
  <c r="E293" i="3"/>
  <c r="E45" i="3"/>
  <c r="G45" i="3" l="1"/>
  <c r="F45" i="3"/>
  <c r="G113" i="3"/>
  <c r="F113" i="3"/>
  <c r="G21" i="3"/>
  <c r="F21" i="3"/>
  <c r="G31" i="3"/>
  <c r="F31" i="3"/>
  <c r="G53" i="3"/>
  <c r="F53" i="3"/>
  <c r="G293" i="3"/>
  <c r="F293" i="3"/>
  <c r="G130" i="3"/>
  <c r="F130" i="3"/>
  <c r="G64" i="3"/>
  <c r="F64" i="3"/>
  <c r="F210" i="3"/>
  <c r="G210" i="3"/>
  <c r="F142" i="3"/>
  <c r="G142" i="3"/>
  <c r="E112" i="3"/>
  <c r="E245" i="3"/>
  <c r="E85" i="3"/>
  <c r="G85" i="3" l="1"/>
  <c r="F85" i="3"/>
  <c r="F112" i="3"/>
  <c r="G112" i="3"/>
  <c r="G245" i="3"/>
  <c r="F245" i="3"/>
  <c r="E244" i="3"/>
  <c r="E63" i="3"/>
  <c r="D340" i="3"/>
  <c r="F244" i="3" l="1"/>
  <c r="G244" i="3"/>
  <c r="E11" i="3"/>
  <c r="F11" i="3" s="1"/>
  <c r="F63" i="3"/>
  <c r="G63" i="3"/>
  <c r="E340" i="3" l="1"/>
  <c r="G11" i="3"/>
  <c r="F340" i="3" l="1"/>
  <c r="G340" i="3"/>
</calcChain>
</file>

<file path=xl/sharedStrings.xml><?xml version="1.0" encoding="utf-8"?>
<sst xmlns="http://schemas.openxmlformats.org/spreadsheetml/2006/main" count="1005" uniqueCount="590">
  <si>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</si>
  <si>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</si>
  <si>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</si>
  <si>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</si>
  <si>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</si>
  <si>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</si>
  <si>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</si>
  <si>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</si>
  <si>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</si>
  <si>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</si>
  <si>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</si>
  <si>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</si>
  <si>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</si>
  <si>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</si>
  <si>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</si>
  <si>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</si>
  <si>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</si>
  <si>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</si>
  <si>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</si>
  <si>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</si>
  <si>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</si>
  <si>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</si>
  <si>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</si>
  <si>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</si>
  <si>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</si>
  <si>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</si>
  <si>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</si>
  <si>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</si>
  <si>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</si>
  <si>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</si>
  <si>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</si>
  <si>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</si>
  <si>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</si>
  <si>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</si>
  <si>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</si>
  <si>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</si>
  <si>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</si>
  <si>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</si>
  <si>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</si>
  <si>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</si>
  <si>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</si>
  <si>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</si>
  <si>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</si>
  <si>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</si>
  <si>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</si>
  <si>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</si>
  <si>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</si>
  <si>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</si>
  <si>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</si>
  <si>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</si>
  <si>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</si>
  <si>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</si>
  <si>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</si>
  <si>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</si>
  <si>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</si>
  <si>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</si>
  <si>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</si>
  <si>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</si>
  <si>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</si>
  <si>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</si>
  <si>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</si>
  <si>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</si>
  <si>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</si>
  <si>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</si>
  <si>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</si>
  <si>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</si>
  <si>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</si>
  <si>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</si>
  <si>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</si>
  <si>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</si>
  <si>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</si>
  <si>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</si>
  <si>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</si>
  <si>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</si>
  <si>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</si>
  <si>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</si>
  <si>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</si>
  <si>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</si>
  <si>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</si>
  <si>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</si>
  <si>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</si>
  <si>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</si>
  <si>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</si>
  <si>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</si>
  <si>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</si>
  <si>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</si>
  <si>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</si>
  <si>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</si>
  <si>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</si>
  <si>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</si>
  <si>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</si>
  <si>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</si>
  <si>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</si>
  <si>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</si>
  <si>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</si>
  <si>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</si>
  <si>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</si>
  <si>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</si>
  <si>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</si>
  <si>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</si>
  <si>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</si>
  <si>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</si>
  <si>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</si>
  <si>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</si>
  <si>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</si>
  <si>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</si>
  <si>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</si>
  <si>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</si>
  <si>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</si>
  <si>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</si>
  <si>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</si>
  <si>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</si>
  <si>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</si>
  <si>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</si>
  <si>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</si>
  <si>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</si>
  <si>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</si>
  <si>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</si>
  <si>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</si>
  <si>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</si>
  <si>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</si>
  <si>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</si>
  <si>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</si>
  <si>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</si>
  <si>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</si>
  <si>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</si>
  <si>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</si>
  <si>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</si>
  <si>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</si>
  <si>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</si>
  <si>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</si>
  <si>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</si>
  <si>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</si>
  <si>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</si>
  <si>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</si>
  <si>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</si>
  <si>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</si>
  <si>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</si>
  <si>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</si>
  <si>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</si>
  <si>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</si>
  <si>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</si>
  <si>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</si>
  <si>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</si>
  <si>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</si>
  <si>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</si>
  <si>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</si>
  <si>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</si>
  <si>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</si>
  <si>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</si>
  <si>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</si>
  <si>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</si>
  <si>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</si>
  <si>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</si>
  <si>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</si>
  <si>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</si>
  <si>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</si>
  <si>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</si>
  <si>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</si>
  <si>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</si>
  <si>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</si>
  <si>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</si>
  <si>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</si>
  <si>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</si>
  <si>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</si>
  <si>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</si>
  <si>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</si>
  <si>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</si>
  <si>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</si>
  <si>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</si>
  <si>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</si>
  <si>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</si>
  <si>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</si>
  <si>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</si>
  <si>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</si>
  <si>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</si>
  <si>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</si>
  <si>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</si>
  <si>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</si>
  <si>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</si>
  <si>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</si>
  <si>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</si>
  <si>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</si>
  <si>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</si>
  <si>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</si>
  <si>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</si>
  <si>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</si>
  <si>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</si>
  <si>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</si>
  <si>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</si>
  <si>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</si>
  <si>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</si>
  <si>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</si>
  <si>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</si>
  <si>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</si>
  <si>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</si>
  <si>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</si>
  <si>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</si>
  <si>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</si>
  <si>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</si>
  <si>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</si>
  <si>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</si>
  <si>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</si>
  <si>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</si>
  <si>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</si>
  <si>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</si>
  <si>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</si>
  <si>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</si>
  <si>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</si>
  <si>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</si>
  <si>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</si>
  <si>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</si>
  <si>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</si>
  <si>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</si>
  <si>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</si>
  <si>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</si>
  <si>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</si>
  <si>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</si>
  <si>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</si>
  <si>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</si>
  <si>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</si>
  <si>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</si>
  <si>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</si>
  <si>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</si>
  <si>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</si>
  <si>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</si>
  <si>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</si>
  <si>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</si>
  <si>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</si>
  <si>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</si>
  <si>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</si>
  <si>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</si>
  <si>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</si>
  <si>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</si>
  <si>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</si>
  <si>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</si>
  <si>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</si>
  <si>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</si>
  <si>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</si>
  <si>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</si>
  <si>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</si>
  <si>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</si>
  <si>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</si>
  <si>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</si>
  <si>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</si>
  <si>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</si>
  <si>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</si>
  <si>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</si>
  <si>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</si>
  <si>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</si>
  <si>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</si>
  <si>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</si>
  <si>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</si>
  <si>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</si>
  <si>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</si>
  <si>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</si>
  <si>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</si>
  <si>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</si>
  <si>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</si>
  <si>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</si>
  <si>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</si>
  <si>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</si>
  <si>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</si>
  <si>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</si>
  <si>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</si>
  <si>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</si>
  <si>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</si>
  <si>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</si>
  <si>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</si>
  <si>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</si>
  <si>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</si>
  <si>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</si>
  <si>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</si>
  <si>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</si>
  <si>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</si>
  <si>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</si>
  <si>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</si>
  <si>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</si>
  <si>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</si>
  <si>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</si>
  <si>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</si>
  <si>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</si>
  <si>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</si>
  <si>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</si>
  <si>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</si>
  <si>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</si>
  <si>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</si>
  <si>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</si>
  <si>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</si>
  <si>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</si>
  <si>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</si>
  <si>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</si>
  <si>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</si>
  <si>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</si>
  <si>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</si>
  <si>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</si>
  <si>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</si>
  <si>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</si>
  <si>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</si>
  <si>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</si>
  <si>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</si>
  <si>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</si>
  <si>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</si>
  <si>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</si>
  <si>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</si>
  <si>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</si>
  <si>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</si>
  <si>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</si>
  <si>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</si>
  <si>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</si>
  <si>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</si>
  <si>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</si>
  <si>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</si>
  <si>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</si>
  <si>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1 11 05074 04 1000 120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</si>
  <si>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</si>
  <si>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</si>
  <si>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</si>
  <si>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</si>
  <si>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</si>
  <si>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</si>
  <si>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</si>
  <si>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</si>
  <si>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</si>
  <si>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</si>
  <si>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</si>
  <si>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</si>
  <si>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</si>
  <si>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</si>
  <si>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</si>
  <si>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</si>
  <si>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</si>
  <si>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</si>
  <si>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</si>
  <si>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</si>
  <si>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</si>
  <si>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</si>
  <si>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</si>
  <si>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</si>
  <si>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</si>
  <si>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</si>
  <si>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</si>
  <si>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</si>
  <si>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</si>
  <si>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</si>
  <si>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</si>
  <si>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</si>
  <si>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</si>
  <si>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</si>
  <si>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</si>
  <si>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</si>
  <si>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</si>
  <si>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</si>
  <si>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</si>
  <si>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</si>
  <si>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</si>
  <si>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</si>
  <si>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</si>
  <si>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</si>
  <si>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</si>
  <si>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</si>
  <si>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</si>
  <si>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</si>
  <si>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</si>
  <si>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</si>
  <si>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</si>
  <si>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</si>
  <si>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</si>
  <si>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</si>
  <si>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</si>
  <si>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</si>
  <si>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</si>
  <si>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</si>
  <si>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</si>
  <si>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</si>
  <si>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</si>
  <si>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</si>
  <si>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</si>
  <si>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</si>
  <si>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</si>
  <si>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</si>
  <si>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</si>
  <si>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</si>
  <si>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</si>
  <si>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</si>
  <si>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</si>
  <si>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</si>
  <si>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</si>
  <si>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</si>
  <si>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</si>
  <si>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</si>
  <si>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</si>
  <si>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</si>
  <si>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</si>
  <si>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</si>
  <si>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</si>
  <si>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</si>
  <si>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</si>
  <si>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</si>
  <si>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</si>
  <si>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</si>
  <si>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</si>
  <si>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</si>
  <si>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</si>
  <si>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</si>
  <si>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</si>
  <si>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</si>
  <si>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</si>
  <si>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</si>
  <si>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</si>
  <si>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</si>
  <si>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</si>
  <si>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</si>
  <si>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</si>
  <si>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</si>
  <si>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</si>
  <si>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</si>
  <si>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</si>
  <si>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</si>
  <si>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</si>
  <si>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</si>
  <si>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</si>
  <si>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</si>
  <si>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</si>
  <si>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</si>
  <si>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</si>
  <si>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</si>
  <si>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</si>
  <si>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</si>
  <si>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</si>
  <si>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</si>
  <si>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</si>
  <si>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</si>
  <si>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</si>
  <si>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</si>
  <si>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2 02 25081 00 0000 150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</si>
  <si>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</si>
  <si>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</si>
  <si>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</si>
  <si>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</si>
  <si>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</si>
  <si>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</si>
  <si>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</si>
  <si>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908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</si>
  <si>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</si>
  <si>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</si>
  <si>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</si>
  <si>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</si>
  <si>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</si>
  <si>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</si>
  <si>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</si>
  <si>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</si>
  <si>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</si>
  <si>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</si>
  <si>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</si>
  <si>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</si>
  <si>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</si>
  <si>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</si>
  <si>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</si>
  <si>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</si>
  <si>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</si>
  <si>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</si>
  <si>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</si>
  <si>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</si>
  <si>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</si>
  <si>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1 05 01012 01 0000 110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</si>
  <si>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</si>
  <si>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</si>
  <si>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</si>
  <si>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</si>
  <si>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</si>
  <si>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1 16 10100 04 0000 140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</si>
  <si>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</si>
  <si>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</si>
  <si>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</si>
  <si>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</si>
  <si>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межбюджетные трансферты, передаваемые бюджетам</t>
  </si>
  <si>
    <t xml:space="preserve"> 2 02 49999 00 0000 150</t>
  </si>
  <si>
    <t>2 02 49999 04 0000 150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</si>
  <si>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</si>
  <si>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</si>
  <si>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</si>
  <si>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</si>
  <si>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</si>
  <si>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</si>
  <si>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энергетитки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</si>
  <si>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</si>
  <si>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</si>
  <si>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</si>
  <si>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</si>
  <si>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1 16 01111 01 0000 140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</si>
  <si>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</si>
  <si>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</si>
  <si>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</si>
  <si>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</si>
  <si>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</si>
  <si>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Инициативные платежи, зачисляемые в бюджеты городских округов (Благоустройство территории расположения комплекса по увековечению памяти погибших участников СВО)</t>
  </si>
  <si>
    <t>Инициативные платежи, зачисляемые в бюджеты городских округов (Создание мемориального комплекса по увековечиванию памяти погибших участников СВО)</t>
  </si>
  <si>
    <t>Инициативные платежи, зачисляемые в бюджеты городских округов(«Аллея героев», Тихий фронт Усть-Илимска)</t>
  </si>
  <si>
    <t>Инициативные платежи, зачисляемые в бюджеты городских округов (Ремонт участка автомобильной дороги местного значения по Усть-Илимскому шоссе от заправки № 101 в сторону У-ИГЭС)</t>
  </si>
  <si>
    <t>Инициативные платежи, зачисляемые в бюджеты городских округов (Ремонт участка автомобильной дороги местного значения от автодороги № 105 У-ИГЭС в сторону Усть-Илимского шоссе)</t>
  </si>
  <si>
    <t>Инициативные платежи, зачисляемые в бюджеты городских округов (Благоустройство территории МАУ «Лагерь отдыха и оздоровления «Лосенок»)</t>
  </si>
  <si>
    <t>Инициативные платежи, зачисляемые в бюджеты городских округов (Благоустройство прилегающей территории Спортивно-молодежного центра «Притяжение»)</t>
  </si>
  <si>
    <t>Инициативные платежи, зачисляемые в бюджеты городских округов (Проведение текущего ремонта кровли зданий Центральной детской библиотеки «Первоцвет» и библиотеки искусств Муниципального бюджетного учреждения культуры «Централизованная библиотечная система муниципального образования город Усть-Илимск»)</t>
  </si>
  <si>
    <t>Инициативные платежи, зачисляемые в бюджеты городских округов (Благоустройство прилегающей территории к центральному входу МБОУ «Средняя общеобразовательная школа № 1»)</t>
  </si>
  <si>
    <t>Инициативные платежи, зачисляемые в бюджеты городских округов (Организация детской, спортивно-игровой площадки «Спорт с внуками рядом»)</t>
  </si>
  <si>
    <t>Инициативные платежи, зачисляемые в бюджеты городских округов (Благоустройство территории, прилегающей к МБОУ «Средняя общеобразовательная школа № 1»)</t>
  </si>
  <si>
    <t>Инициативные платежи, зачисляемые в бюджеты городских округов (Текущий ремонт помещений бассейна Муниципального бюджетного дошкольного образовательного учреждения «Детский сад № 35 «Соболек» по адресу: город Усть-Илимск, проспект Мира, 66)</t>
  </si>
  <si>
    <t>Инициативные платежи, зачисляемые в бюджеты городских округов (Организация детской научно-развивающей площадки «ИгроГрад»)</t>
  </si>
  <si>
    <t>Инициативные платежи, зачисляемые в бюджеты городских округов (Организация детской игровой площадки – «Ромашка»)</t>
  </si>
  <si>
    <t>1 17 15020 04 0160 150</t>
  </si>
  <si>
    <t>1 17 15020 04 0170 150</t>
  </si>
  <si>
    <t>1 17 15020 04 0180 150</t>
  </si>
  <si>
    <t>1 17 15020 04 0190 150</t>
  </si>
  <si>
    <t>1 17 15020 04 0200 150</t>
  </si>
  <si>
    <t>1 17 15020 04 0210 150</t>
  </si>
  <si>
    <t>1 17 15020 04 0220 150</t>
  </si>
  <si>
    <t>1 17 15020 04 0230 150</t>
  </si>
  <si>
    <t>1 17 15020 04 0240 150</t>
  </si>
  <si>
    <t>1 17 15020 04 0250 150</t>
  </si>
  <si>
    <t>1 17 15020 04 0260 150</t>
  </si>
  <si>
    <t>1 17 15020 04 0270 150</t>
  </si>
  <si>
    <t>1 17 15020 04 0280 150</t>
  </si>
  <si>
    <t>1 17 15020 04 0290 150</t>
  </si>
  <si>
    <t>1 17 15020 04 0300 150</t>
  </si>
  <si>
    <t xml:space="preserve"> 1 14 03040 04 0000 410</t>
  </si>
  <si>
    <t>1 16 01090 01 0000 140</t>
  </si>
  <si>
    <t>1 16 01093 01 0000 140</t>
  </si>
  <si>
    <t>1 16 01103 01 0000 140</t>
  </si>
  <si>
    <t>1 16 01133 01 0000 140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</si>
  <si>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</si>
  <si>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</si>
  <si>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</si>
  <si>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области)</t>
  </si>
  <si>
    <t>Прочие межбюджетные трансферты, передаваемые бюджетам городских округов (иные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</si>
  <si>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</si>
  <si>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Единый налог на вмененный доход для отдельных видов деятельности</t>
  </si>
  <si>
    <t xml:space="preserve"> 1 05 02000 02 0000 110</t>
  </si>
  <si>
    <t>1 05 02010 02 0000 110</t>
  </si>
  <si>
    <t>Прочие безвозмездные поступления</t>
  </si>
  <si>
    <t>2 07 00000 00 0000 000</t>
  </si>
  <si>
    <t>Прочие безвозмездные поступления в бюджеты городских округов</t>
  </si>
  <si>
    <t>2 07 04000 04 0000 150</t>
  </si>
  <si>
    <t>2 07 04050 04 0000 150</t>
  </si>
  <si>
    <t>Прочие субсидии бюджетам городских округов (субсидии местным бюджетам на финансовую поддержку реализации инициативных проектов)</t>
  </si>
  <si>
    <t>План</t>
  </si>
  <si>
    <t>Исполнение</t>
  </si>
  <si>
    <t>% исполнения</t>
  </si>
  <si>
    <t>Налог, взимаемый с налогоплательщиком, выбравших в качестве объекта налогооблажения доходы (за налоговые периоды, истекшие до 1 января 2011 года)</t>
  </si>
  <si>
    <t>Иные межбюджетные трансферты на поощрение муниципальных управленческих команд</t>
  </si>
  <si>
    <t>Прочие межбюджетные трансферты, передаваемы бюджетам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</si>
  <si>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</si>
  <si>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</si>
  <si>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за размещение твердых коммунальных отходов</t>
  </si>
  <si>
    <t>1 12 01042 01 0000 120</t>
  </si>
  <si>
    <t>1 17 01000 00 0000 180</t>
  </si>
  <si>
    <t>1 17 01040 04 0000 180</t>
  </si>
  <si>
    <t>Невыясненные поступления, зачисляемые в бюджеты городских округов</t>
  </si>
  <si>
    <t>Невыясненные поступления</t>
  </si>
  <si>
    <t>6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</si>
  <si>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</si>
  <si>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</si>
  <si>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</si>
  <si>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</si>
  <si>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</si>
  <si>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1 09 07030 00 0000 110</t>
  </si>
  <si>
    <t>1 09 07032 04 0000 110</t>
  </si>
  <si>
    <t xml:space="preserve">Приложение № 1
УТВЕРЖДЕН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
от 00.00.2024г.           г. № 
</t>
  </si>
  <si>
    <t xml:space="preserve"> А.П. Чихирьков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</si>
  <si>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</si>
  <si>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</si>
  <si>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</si>
  <si>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</si>
  <si>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1 11 09080 04 2130 120</t>
  </si>
  <si>
    <t>1 11 09080 04 3030 120</t>
  </si>
  <si>
    <t>188</t>
  </si>
  <si>
    <t>809</t>
  </si>
  <si>
    <t>1 14 03040 04 0000 410</t>
  </si>
  <si>
    <t>1 11 09080 04 2131 100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</si>
  <si>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</si>
  <si>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</si>
  <si>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учреждений)(сумма платежа)</t>
  </si>
  <si>
    <t>Доходы от сдачи в аренду имущества, составляющего казну городских округов (за исключением земельных участков)(сумма платежа)</t>
  </si>
  <si>
    <t>+, - отклонение</t>
  </si>
  <si>
    <t>УТВЕРЖДЕН</t>
  </si>
  <si>
    <t xml:space="preserve">решением Городской Думы  </t>
  </si>
  <si>
    <t>от 00.00.2024г. №</t>
  </si>
  <si>
    <t>города Усть-Илимска</t>
  </si>
  <si>
    <t>Отчет об исполнении бюджета города по доходам за 2023 год</t>
  </si>
  <si>
    <t xml:space="preserve">1 11 05320 00 0000 120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</si>
</sst>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  <numFmt numFmtId="169" formatCode="dd\.mm\.yyyy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0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20" fillId="0" borderId="0"/>
    <xf numFmtId="0" fontId="21" fillId="0" borderId="0"/>
    <xf numFmtId="0" fontId="22" fillId="0" borderId="0"/>
    <xf numFmtId="0" fontId="23" fillId="0" borderId="0">
      <alignment horizontal="center" wrapText="1"/>
    </xf>
    <xf numFmtId="0" fontId="24" fillId="0" borderId="6"/>
    <xf numFmtId="0" fontId="24" fillId="0" borderId="0"/>
    <xf numFmtId="0" fontId="25" fillId="0" borderId="0"/>
    <xf numFmtId="0" fontId="23" fillId="0" borderId="0">
      <alignment horizontal="left" wrapText="1"/>
    </xf>
    <xf numFmtId="0" fontId="26" fillId="0" borderId="0"/>
    <xf numFmtId="0" fontId="27" fillId="0" borderId="0"/>
    <xf numFmtId="0" fontId="24" fillId="0" borderId="7"/>
    <xf numFmtId="0" fontId="13" fillId="0" borderId="8">
      <alignment horizontal="center"/>
    </xf>
    <xf numFmtId="0" fontId="25" fillId="0" borderId="9"/>
    <xf numFmtId="0" fontId="13" fillId="0" borderId="0">
      <alignment horizontal="left"/>
    </xf>
    <xf numFmtId="0" fontId="28" fillId="0" borderId="0">
      <alignment horizontal="center" vertical="top"/>
    </xf>
    <xf numFmtId="49" fontId="29" fillId="0" borderId="10">
      <alignment horizontal="right"/>
    </xf>
    <xf numFmtId="49" fontId="25" fillId="0" borderId="11">
      <alignment horizontal="center"/>
    </xf>
    <xf numFmtId="0" fontId="25" fillId="0" borderId="12"/>
    <xf numFmtId="49" fontId="25" fillId="0" borderId="0"/>
    <xf numFmtId="49" fontId="13" fillId="0" borderId="0">
      <alignment horizontal="right"/>
    </xf>
    <xf numFmtId="0" fontId="13" fillId="0" borderId="0"/>
    <xf numFmtId="0" fontId="13" fillId="0" borderId="0">
      <alignment horizontal="center"/>
    </xf>
    <xf numFmtId="0" fontId="13" fillId="0" borderId="10">
      <alignment horizontal="right"/>
    </xf>
    <xf numFmtId="169" fontId="13" fillId="0" borderId="13">
      <alignment horizontal="center"/>
    </xf>
    <xf numFmtId="49" fontId="13" fillId="0" borderId="0"/>
    <xf numFmtId="0" fontId="13" fillId="0" borderId="0">
      <alignment horizontal="right"/>
    </xf>
    <xf numFmtId="0" fontId="13" fillId="0" borderId="14">
      <alignment horizontal="center"/>
    </xf>
    <xf numFmtId="0" fontId="13" fillId="0" borderId="6">
      <alignment wrapText="1"/>
    </xf>
    <xf numFmtId="49" fontId="13" fillId="0" borderId="15">
      <alignment horizontal="center"/>
    </xf>
    <xf numFmtId="0" fontId="13" fillId="0" borderId="16">
      <alignment wrapText="1"/>
    </xf>
    <xf numFmtId="49" fontId="13" fillId="0" borderId="13">
      <alignment horizontal="center"/>
    </xf>
    <xf numFmtId="0" fontId="13" fillId="0" borderId="17">
      <alignment horizontal="left"/>
    </xf>
    <xf numFmtId="49" fontId="13" fillId="0" borderId="17"/>
    <xf numFmtId="0" fontId="13" fillId="0" borderId="13">
      <alignment horizontal="center"/>
    </xf>
    <xf numFmtId="49" fontId="13" fillId="0" borderId="18">
      <alignment horizontal="center"/>
    </xf>
    <xf numFmtId="0" fontId="26" fillId="0" borderId="19"/>
    <xf numFmtId="49" fontId="13" fillId="0" borderId="3">
      <alignment horizontal="center" vertical="center" wrapText="1"/>
    </xf>
    <xf numFmtId="49" fontId="13" fillId="0" borderId="20">
      <alignment horizontal="center" vertical="center" wrapText="1"/>
    </xf>
    <xf numFmtId="49" fontId="13" fillId="0" borderId="5">
      <alignment horizontal="center" vertical="center" wrapText="1"/>
    </xf>
    <xf numFmtId="49" fontId="13" fillId="0" borderId="8">
      <alignment horizontal="center" vertical="center" wrapText="1"/>
    </xf>
    <xf numFmtId="0" fontId="13" fillId="0" borderId="21">
      <alignment horizontal="left" wrapText="1"/>
    </xf>
    <xf numFmtId="49" fontId="13" fillId="0" borderId="22">
      <alignment horizontal="center" wrapText="1"/>
    </xf>
    <xf numFmtId="49" fontId="13" fillId="0" borderId="23">
      <alignment horizontal="center"/>
    </xf>
    <xf numFmtId="4" fontId="13" fillId="0" borderId="2">
      <alignment horizontal="right"/>
    </xf>
    <xf numFmtId="0" fontId="13" fillId="0" borderId="24">
      <alignment horizontal="left" wrapText="1"/>
    </xf>
    <xf numFmtId="4" fontId="13" fillId="0" borderId="25">
      <alignment horizontal="right"/>
    </xf>
    <xf numFmtId="0" fontId="13" fillId="0" borderId="26">
      <alignment horizontal="left" wrapText="1" indent="1"/>
    </xf>
    <xf numFmtId="49" fontId="13" fillId="0" borderId="27">
      <alignment horizontal="center" wrapText="1"/>
    </xf>
    <xf numFmtId="49" fontId="13" fillId="0" borderId="28">
      <alignment horizontal="center"/>
    </xf>
    <xf numFmtId="0" fontId="13" fillId="0" borderId="29">
      <alignment horizontal="left" wrapText="1" indent="1"/>
    </xf>
    <xf numFmtId="49" fontId="13" fillId="0" borderId="30">
      <alignment horizontal="center"/>
    </xf>
    <xf numFmtId="49" fontId="13" fillId="0" borderId="9">
      <alignment horizontal="center"/>
    </xf>
    <xf numFmtId="49" fontId="13" fillId="0" borderId="0">
      <alignment horizontal="center"/>
    </xf>
    <xf numFmtId="49" fontId="13" fillId="0" borderId="31">
      <alignment horizontal="center"/>
    </xf>
    <xf numFmtId="0" fontId="13" fillId="0" borderId="32">
      <alignment horizontal="left" wrapText="1" indent="2"/>
    </xf>
    <xf numFmtId="0" fontId="13" fillId="0" borderId="19"/>
    <xf numFmtId="0" fontId="13" fillId="3" borderId="19"/>
    <xf numFmtId="0" fontId="13" fillId="3" borderId="0"/>
    <xf numFmtId="0" fontId="13" fillId="0" borderId="0">
      <alignment horizontal="left" wrapText="1"/>
    </xf>
    <xf numFmtId="49" fontId="13" fillId="0" borderId="0">
      <alignment horizontal="center" wrapText="1"/>
    </xf>
    <xf numFmtId="0" fontId="13" fillId="0" borderId="6">
      <alignment horizontal="left"/>
    </xf>
    <xf numFmtId="49" fontId="13" fillId="0" borderId="6"/>
    <xf numFmtId="0" fontId="13" fillId="0" borderId="6"/>
    <xf numFmtId="0" fontId="13" fillId="0" borderId="33">
      <alignment horizontal="left" wrapText="1"/>
    </xf>
    <xf numFmtId="49" fontId="13" fillId="0" borderId="23">
      <alignment horizontal="center" wrapText="1"/>
    </xf>
    <xf numFmtId="4" fontId="13" fillId="0" borderId="5">
      <alignment horizontal="right"/>
    </xf>
    <xf numFmtId="4" fontId="13" fillId="0" borderId="34">
      <alignment horizontal="right"/>
    </xf>
    <xf numFmtId="0" fontId="13" fillId="0" borderId="35">
      <alignment horizontal="left" wrapText="1"/>
    </xf>
    <xf numFmtId="49" fontId="13" fillId="0" borderId="31">
      <alignment horizontal="center" wrapText="1"/>
    </xf>
    <xf numFmtId="49" fontId="13" fillId="0" borderId="2">
      <alignment horizontal="center"/>
    </xf>
    <xf numFmtId="0" fontId="13" fillId="0" borderId="16"/>
    <xf numFmtId="0" fontId="13" fillId="0" borderId="36"/>
    <xf numFmtId="0" fontId="22" fillId="0" borderId="32">
      <alignment horizontal="left" wrapText="1"/>
    </xf>
    <xf numFmtId="0" fontId="13" fillId="0" borderId="37">
      <alignment horizontal="center" wrapText="1"/>
    </xf>
    <xf numFmtId="49" fontId="13" fillId="0" borderId="38">
      <alignment horizontal="center" wrapText="1"/>
    </xf>
    <xf numFmtId="4" fontId="13" fillId="0" borderId="23">
      <alignment horizontal="right"/>
    </xf>
    <xf numFmtId="4" fontId="13" fillId="0" borderId="39">
      <alignment horizontal="right"/>
    </xf>
    <xf numFmtId="0" fontId="22" fillId="0" borderId="13">
      <alignment horizontal="left" wrapText="1"/>
    </xf>
    <xf numFmtId="0" fontId="25" fillId="0" borderId="19"/>
    <xf numFmtId="0" fontId="13" fillId="0" borderId="0">
      <alignment horizontal="center" wrapText="1"/>
    </xf>
    <xf numFmtId="0" fontId="22" fillId="0" borderId="0">
      <alignment horizontal="center"/>
    </xf>
    <xf numFmtId="0" fontId="22" fillId="0" borderId="6"/>
    <xf numFmtId="49" fontId="13" fillId="0" borderId="6">
      <alignment horizontal="left"/>
    </xf>
    <xf numFmtId="49" fontId="13" fillId="0" borderId="5">
      <alignment horizontal="center"/>
    </xf>
    <xf numFmtId="0" fontId="13" fillId="0" borderId="26">
      <alignment horizontal="left" wrapText="1"/>
    </xf>
    <xf numFmtId="49" fontId="13" fillId="0" borderId="40">
      <alignment horizontal="center"/>
    </xf>
    <xf numFmtId="0" fontId="13" fillId="0" borderId="29">
      <alignment horizontal="left" wrapText="1"/>
    </xf>
    <xf numFmtId="0" fontId="25" fillId="0" borderId="28"/>
    <xf numFmtId="0" fontId="25" fillId="0" borderId="40"/>
    <xf numFmtId="0" fontId="13" fillId="0" borderId="33">
      <alignment horizontal="left" wrapText="1" indent="1"/>
    </xf>
    <xf numFmtId="49" fontId="13" fillId="0" borderId="41">
      <alignment horizontal="center" wrapText="1"/>
    </xf>
    <xf numFmtId="0" fontId="13" fillId="0" borderId="35">
      <alignment horizontal="left" wrapText="1" indent="1"/>
    </xf>
    <xf numFmtId="0" fontId="13" fillId="0" borderId="26">
      <alignment horizontal="left" wrapText="1" indent="2"/>
    </xf>
    <xf numFmtId="0" fontId="13" fillId="0" borderId="29">
      <alignment horizontal="left" wrapText="1" indent="2"/>
    </xf>
    <xf numFmtId="49" fontId="13" fillId="0" borderId="41">
      <alignment horizontal="center"/>
    </xf>
    <xf numFmtId="0" fontId="25" fillId="0" borderId="17"/>
    <xf numFmtId="0" fontId="25" fillId="0" borderId="6"/>
    <xf numFmtId="0" fontId="22" fillId="0" borderId="20">
      <alignment horizontal="center" vertical="center" textRotation="90" wrapText="1"/>
    </xf>
    <xf numFmtId="0" fontId="13" fillId="0" borderId="3">
      <alignment horizontal="center" vertical="top" wrapText="1"/>
    </xf>
    <xf numFmtId="0" fontId="13" fillId="0" borderId="28">
      <alignment horizontal="center" vertical="top"/>
    </xf>
    <xf numFmtId="0" fontId="13" fillId="0" borderId="3">
      <alignment horizontal="center" vertical="top"/>
    </xf>
    <xf numFmtId="49" fontId="13" fillId="0" borderId="3">
      <alignment horizontal="center" vertical="top" wrapText="1"/>
    </xf>
    <xf numFmtId="0" fontId="22" fillId="0" borderId="42"/>
    <xf numFmtId="49" fontId="22" fillId="0" borderId="22">
      <alignment horizontal="center"/>
    </xf>
    <xf numFmtId="0" fontId="26" fillId="0" borderId="12"/>
    <xf numFmtId="49" fontId="30" fillId="0" borderId="43">
      <alignment horizontal="left" vertical="center" wrapText="1"/>
    </xf>
    <xf numFmtId="49" fontId="22" fillId="0" borderId="31">
      <alignment horizontal="center" vertical="center" wrapText="1"/>
    </xf>
    <xf numFmtId="49" fontId="13" fillId="0" borderId="44">
      <alignment horizontal="left" vertical="center" wrapText="1" indent="2"/>
    </xf>
    <xf numFmtId="49" fontId="13" fillId="0" borderId="27">
      <alignment horizontal="center" vertical="center" wrapText="1"/>
    </xf>
    <xf numFmtId="0" fontId="13" fillId="0" borderId="28"/>
    <xf numFmtId="4" fontId="13" fillId="0" borderId="28">
      <alignment horizontal="right"/>
    </xf>
    <xf numFmtId="4" fontId="13" fillId="0" borderId="40">
      <alignment horizontal="right"/>
    </xf>
    <xf numFmtId="49" fontId="13" fillId="0" borderId="4">
      <alignment horizontal="left" vertical="center" wrapText="1" indent="3"/>
    </xf>
    <xf numFmtId="49" fontId="13" fillId="0" borderId="41">
      <alignment horizontal="center" vertical="center" wrapText="1"/>
    </xf>
    <xf numFmtId="49" fontId="13" fillId="0" borderId="43">
      <alignment horizontal="left" vertical="center" wrapText="1" indent="3"/>
    </xf>
    <xf numFmtId="49" fontId="13" fillId="0" borderId="31">
      <alignment horizontal="center" vertical="center" wrapText="1"/>
    </xf>
    <xf numFmtId="49" fontId="13" fillId="0" borderId="45">
      <alignment horizontal="left" vertical="center" wrapText="1" indent="3"/>
    </xf>
    <xf numFmtId="0" fontId="30" fillId="0" borderId="42">
      <alignment horizontal="left" vertical="center" wrapText="1"/>
    </xf>
    <xf numFmtId="49" fontId="13" fillId="0" borderId="46">
      <alignment horizontal="center" vertical="center" wrapText="1"/>
    </xf>
    <xf numFmtId="4" fontId="13" fillId="0" borderId="8">
      <alignment horizontal="right"/>
    </xf>
    <xf numFmtId="4" fontId="13" fillId="0" borderId="47">
      <alignment horizontal="right"/>
    </xf>
    <xf numFmtId="0" fontId="22" fillId="0" borderId="17">
      <alignment horizontal="center" vertical="center" textRotation="90" wrapText="1"/>
    </xf>
    <xf numFmtId="49" fontId="13" fillId="0" borderId="17">
      <alignment horizontal="left" vertical="center" wrapText="1" indent="3"/>
    </xf>
    <xf numFmtId="49" fontId="13" fillId="0" borderId="19">
      <alignment horizontal="center" vertical="center" wrapText="1"/>
    </xf>
    <xf numFmtId="4" fontId="13" fillId="0" borderId="19">
      <alignment horizontal="right"/>
    </xf>
    <xf numFmtId="0" fontId="13" fillId="0" borderId="0">
      <alignment vertical="center"/>
    </xf>
    <xf numFmtId="49" fontId="13" fillId="0" borderId="0">
      <alignment horizontal="left" vertical="center" wrapText="1" indent="3"/>
    </xf>
    <xf numFmtId="49" fontId="13" fillId="0" borderId="0">
      <alignment horizontal="center" vertical="center" wrapText="1"/>
    </xf>
    <xf numFmtId="4" fontId="13" fillId="0" borderId="0">
      <alignment horizontal="right" shrinkToFit="1"/>
    </xf>
    <xf numFmtId="0" fontId="22" fillId="0" borderId="6">
      <alignment horizontal="center" vertical="center" textRotation="90" wrapText="1"/>
    </xf>
    <xf numFmtId="49" fontId="13" fillId="0" borderId="6">
      <alignment horizontal="left" vertical="center" wrapText="1" indent="3"/>
    </xf>
    <xf numFmtId="49" fontId="13" fillId="0" borderId="6">
      <alignment horizontal="center" vertical="center" wrapText="1"/>
    </xf>
    <xf numFmtId="4" fontId="13" fillId="0" borderId="6">
      <alignment horizontal="right"/>
    </xf>
    <xf numFmtId="49" fontId="13" fillId="0" borderId="28">
      <alignment horizontal="center" vertical="center" wrapText="1"/>
    </xf>
    <xf numFmtId="0" fontId="30" fillId="0" borderId="48">
      <alignment horizontal="left" vertical="center" wrapText="1"/>
    </xf>
    <xf numFmtId="49" fontId="22" fillId="0" borderId="22">
      <alignment horizontal="center" vertical="center" wrapText="1"/>
    </xf>
    <xf numFmtId="4" fontId="13" fillId="0" borderId="49">
      <alignment horizontal="right"/>
    </xf>
    <xf numFmtId="49" fontId="13" fillId="0" borderId="50">
      <alignment horizontal="left" vertical="center" wrapText="1" indent="2"/>
    </xf>
    <xf numFmtId="0" fontId="13" fillId="0" borderId="30"/>
    <xf numFmtId="0" fontId="13" fillId="0" borderId="2"/>
    <xf numFmtId="49" fontId="13" fillId="0" borderId="51">
      <alignment horizontal="left" vertical="center" wrapText="1" indent="3"/>
    </xf>
    <xf numFmtId="4" fontId="13" fillId="0" borderId="52">
      <alignment horizontal="right"/>
    </xf>
    <xf numFmtId="49" fontId="13" fillId="0" borderId="53">
      <alignment horizontal="left" vertical="center" wrapText="1" indent="3"/>
    </xf>
    <xf numFmtId="49" fontId="13" fillId="0" borderId="54">
      <alignment horizontal="left" vertical="center" wrapText="1" indent="3"/>
    </xf>
    <xf numFmtId="49" fontId="13" fillId="0" borderId="55">
      <alignment horizontal="center" vertical="center" wrapText="1"/>
    </xf>
    <xf numFmtId="4" fontId="13" fillId="0" borderId="56">
      <alignment horizontal="right"/>
    </xf>
    <xf numFmtId="0" fontId="22" fillId="0" borderId="17">
      <alignment horizontal="center" vertical="center" textRotation="90"/>
    </xf>
    <xf numFmtId="4" fontId="13" fillId="0" borderId="0">
      <alignment horizontal="right"/>
    </xf>
    <xf numFmtId="0" fontId="22" fillId="0" borderId="6">
      <alignment horizontal="center" vertical="center" textRotation="90"/>
    </xf>
    <xf numFmtId="0" fontId="22" fillId="0" borderId="20">
      <alignment horizontal="center" vertical="center" textRotation="90"/>
    </xf>
    <xf numFmtId="0" fontId="13" fillId="0" borderId="40"/>
    <xf numFmtId="49" fontId="13" fillId="0" borderId="57">
      <alignment horizontal="center" vertical="center" wrapText="1"/>
    </xf>
    <xf numFmtId="0" fontId="13" fillId="0" borderId="58"/>
    <xf numFmtId="0" fontId="13" fillId="0" borderId="59"/>
    <xf numFmtId="0" fontId="22" fillId="0" borderId="3">
      <alignment horizontal="center" vertical="center" textRotation="90"/>
    </xf>
    <xf numFmtId="49" fontId="30" fillId="0" borderId="48">
      <alignment horizontal="left" vertical="center" wrapText="1"/>
    </xf>
    <xf numFmtId="0" fontId="22" fillId="0" borderId="41">
      <alignment horizontal="center" vertical="center"/>
    </xf>
    <xf numFmtId="0" fontId="13" fillId="0" borderId="27">
      <alignment horizontal="center" vertical="center"/>
    </xf>
    <xf numFmtId="0" fontId="13" fillId="0" borderId="41">
      <alignment horizontal="center" vertical="center"/>
    </xf>
    <xf numFmtId="0" fontId="13" fillId="0" borderId="31">
      <alignment horizontal="center" vertical="center"/>
    </xf>
    <xf numFmtId="0" fontId="13" fillId="0" borderId="46">
      <alignment horizontal="center" vertical="center"/>
    </xf>
    <xf numFmtId="0" fontId="22" fillId="0" borderId="22">
      <alignment horizontal="center" vertical="center"/>
    </xf>
    <xf numFmtId="49" fontId="22" fillId="0" borderId="31">
      <alignment horizontal="center" vertical="center"/>
    </xf>
    <xf numFmtId="49" fontId="13" fillId="0" borderId="57">
      <alignment horizontal="center" vertical="center"/>
    </xf>
    <xf numFmtId="49" fontId="13" fillId="0" borderId="41">
      <alignment horizontal="center" vertical="center"/>
    </xf>
    <xf numFmtId="49" fontId="13" fillId="0" borderId="31">
      <alignment horizontal="center" vertical="center"/>
    </xf>
    <xf numFmtId="49" fontId="13" fillId="0" borderId="46">
      <alignment horizontal="center" vertical="center"/>
    </xf>
    <xf numFmtId="49" fontId="13" fillId="0" borderId="6">
      <alignment horizontal="center" wrapText="1"/>
    </xf>
    <xf numFmtId="0" fontId="13" fillId="0" borderId="6">
      <alignment horizontal="center"/>
    </xf>
    <xf numFmtId="49" fontId="13" fillId="0" borderId="0">
      <alignment horizontal="left"/>
    </xf>
    <xf numFmtId="0" fontId="13" fillId="0" borderId="17">
      <alignment horizontal="center"/>
    </xf>
    <xf numFmtId="49" fontId="13" fillId="0" borderId="17">
      <alignment horizontal="center"/>
    </xf>
    <xf numFmtId="0" fontId="31" fillId="0" borderId="6">
      <alignment wrapText="1"/>
    </xf>
    <xf numFmtId="0" fontId="32" fillId="0" borderId="6"/>
    <xf numFmtId="0" fontId="31" fillId="0" borderId="3">
      <alignment wrapText="1"/>
    </xf>
    <xf numFmtId="0" fontId="31" fillId="0" borderId="17">
      <alignment wrapText="1"/>
    </xf>
    <xf numFmtId="0" fontId="32" fillId="0" borderId="17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5" fillId="4" borderId="0"/>
    <xf numFmtId="0" fontId="26" fillId="0" borderId="0"/>
  </cellStyleXfs>
  <cellXfs count="148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3" applyNumberFormat="1" applyFont="1" applyFill="1" applyBorder="1" applyAlignment="1">
      <alignment horizontal="left" vertical="center" wrapText="1"/>
    </xf>
    <xf numFmtId="0" fontId="19" fillId="2" borderId="1" xfId="73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" fontId="3" fillId="2" borderId="1" xfId="17" applyNumberFormat="1" applyFont="1" applyFill="1" applyBorder="1" applyAlignment="1" applyProtection="1">
      <alignment horizontal="center" vertical="center"/>
    </xf>
    <xf numFmtId="4" fontId="3" fillId="2" borderId="0" xfId="0" applyNumberFormat="1" applyFont="1" applyFill="1" applyAlignment="1">
      <alignment horizontal="center"/>
    </xf>
    <xf numFmtId="4" fontId="6" fillId="2" borderId="0" xfId="0" applyNumberFormat="1" applyFont="1" applyFill="1" applyAlignment="1">
      <alignment horizontal="center"/>
    </xf>
    <xf numFmtId="0" fontId="3" fillId="2" borderId="0" xfId="14" applyFont="1" applyFill="1" applyAlignment="1" applyProtection="1">
      <alignment horizontal="center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center" vertical="center"/>
      <protection hidden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3" fillId="2" borderId="0" xfId="14" applyFont="1" applyFill="1" applyAlignment="1" applyProtection="1">
      <alignment horizontal="left"/>
      <protection hidden="1"/>
    </xf>
    <xf numFmtId="49" fontId="14" fillId="2" borderId="1" xfId="5" applyNumberFormat="1" applyFont="1" applyFill="1" applyBorder="1" applyAlignment="1" applyProtection="1">
      <alignment horizontal="center" vertical="center"/>
      <protection hidden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168" fontId="3" fillId="2" borderId="1" xfId="18" applyNumberFormat="1" applyFont="1" applyFill="1" applyBorder="1" applyAlignment="1" applyProtection="1">
      <alignment horizontal="center" vertical="center"/>
      <protection hidden="1"/>
    </xf>
    <xf numFmtId="4" fontId="14" fillId="2" borderId="1" xfId="0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 wrapText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4" fontId="33" fillId="2" borderId="1" xfId="1" applyNumberFormat="1" applyFont="1" applyFill="1" applyBorder="1" applyAlignment="1">
      <alignment horizontal="center" vertical="center" wrapText="1"/>
    </xf>
    <xf numFmtId="4" fontId="19" fillId="2" borderId="1" xfId="17" applyNumberFormat="1" applyFont="1" applyFill="1" applyBorder="1" applyAlignment="1" applyProtection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7" fillId="2" borderId="0" xfId="14" applyFont="1" applyFill="1" applyAlignment="1" applyProtection="1">
      <protection hidden="1"/>
    </xf>
    <xf numFmtId="0" fontId="7" fillId="2" borderId="0" xfId="4" applyFont="1" applyFill="1" applyAlignment="1" applyProtection="1">
      <alignment horizontal="right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center"/>
      <protection hidden="1"/>
    </xf>
    <xf numFmtId="0" fontId="4" fillId="2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</cellXfs>
  <cellStyles count="203">
    <cellStyle name="br" xfId="198"/>
    <cellStyle name="col" xfId="197"/>
    <cellStyle name="style0" xfId="199"/>
    <cellStyle name="td" xfId="200"/>
    <cellStyle name="tr" xfId="196"/>
    <cellStyle name="xl100" xfId="81"/>
    <cellStyle name="xl101" xfId="86"/>
    <cellStyle name="xl102" xfId="96"/>
    <cellStyle name="xl103" xfId="100"/>
    <cellStyle name="xl104" xfId="108"/>
    <cellStyle name="xl105" xfId="103"/>
    <cellStyle name="xl106" xfId="111"/>
    <cellStyle name="xl107" xfId="114"/>
    <cellStyle name="xl108" xfId="98"/>
    <cellStyle name="xl109" xfId="101"/>
    <cellStyle name="xl110" xfId="109"/>
    <cellStyle name="xl111" xfId="113"/>
    <cellStyle name="xl112" xfId="99"/>
    <cellStyle name="xl113" xfId="102"/>
    <cellStyle name="xl114" xfId="104"/>
    <cellStyle name="xl115" xfId="110"/>
    <cellStyle name="xl116" xfId="105"/>
    <cellStyle name="xl117" xfId="112"/>
    <cellStyle name="xl118" xfId="106"/>
    <cellStyle name="xl119" xfId="107"/>
    <cellStyle name="xl120" xfId="116"/>
    <cellStyle name="xl121" xfId="140"/>
    <cellStyle name="xl122" xfId="144"/>
    <cellStyle name="xl123" xfId="12"/>
    <cellStyle name="xl123 2" xfId="148"/>
    <cellStyle name="xl124" xfId="165"/>
    <cellStyle name="xl125" xfId="167"/>
    <cellStyle name="xl126" xfId="168"/>
    <cellStyle name="xl127" xfId="115"/>
    <cellStyle name="xl128" xfId="13"/>
    <cellStyle name="xl128 2" xfId="173"/>
    <cellStyle name="xl129" xfId="191"/>
    <cellStyle name="xl130" xfId="194"/>
    <cellStyle name="xl131" xfId="117"/>
    <cellStyle name="xl132" xfId="121"/>
    <cellStyle name="xl133" xfId="124"/>
    <cellStyle name="xl134" xfId="126"/>
    <cellStyle name="xl135" xfId="131"/>
    <cellStyle name="xl136" xfId="133"/>
    <cellStyle name="xl137" xfId="135"/>
    <cellStyle name="xl138" xfId="136"/>
    <cellStyle name="xl139" xfId="141"/>
    <cellStyle name="xl140" xfId="145"/>
    <cellStyle name="xl141" xfId="149"/>
    <cellStyle name="xl142" xfId="153"/>
    <cellStyle name="xl143" xfId="156"/>
    <cellStyle name="xl144" xfId="159"/>
    <cellStyle name="xl145" xfId="161"/>
    <cellStyle name="xl146" xfId="162"/>
    <cellStyle name="xl147" xfId="174"/>
    <cellStyle name="xl148" xfId="122"/>
    <cellStyle name="xl149" xfId="125"/>
    <cellStyle name="xl150" xfId="127"/>
    <cellStyle name="xl151" xfId="132"/>
    <cellStyle name="xl152" xfId="134"/>
    <cellStyle name="xl153" xfId="137"/>
    <cellStyle name="xl154" xfId="142"/>
    <cellStyle name="xl155" xfId="146"/>
    <cellStyle name="xl156" xfId="150"/>
    <cellStyle name="xl157" xfId="152"/>
    <cellStyle name="xl158" xfId="154"/>
    <cellStyle name="xl159" xfId="163"/>
    <cellStyle name="xl160" xfId="170"/>
    <cellStyle name="xl161" xfId="175"/>
    <cellStyle name="xl162" xfId="176"/>
    <cellStyle name="xl163" xfId="177"/>
    <cellStyle name="xl164" xfId="178"/>
    <cellStyle name="xl165" xfId="179"/>
    <cellStyle name="xl166" xfId="180"/>
    <cellStyle name="xl167" xfId="181"/>
    <cellStyle name="xl168" xfId="182"/>
    <cellStyle name="xl169" xfId="183"/>
    <cellStyle name="xl170" xfId="184"/>
    <cellStyle name="xl171" xfId="185"/>
    <cellStyle name="xl172" xfId="120"/>
    <cellStyle name="xl173" xfId="128"/>
    <cellStyle name="xl174" xfId="138"/>
    <cellStyle name="xl175" xfId="143"/>
    <cellStyle name="xl176" xfId="147"/>
    <cellStyle name="xl177" xfId="151"/>
    <cellStyle name="xl178" xfId="166"/>
    <cellStyle name="xl179" xfId="129"/>
    <cellStyle name="xl180" xfId="171"/>
    <cellStyle name="xl181" xfId="186"/>
    <cellStyle name="xl182" xfId="189"/>
    <cellStyle name="xl183" xfId="192"/>
    <cellStyle name="xl184" xfId="195"/>
    <cellStyle name="xl185" xfId="187"/>
    <cellStyle name="xl186" xfId="190"/>
    <cellStyle name="xl187" xfId="188"/>
    <cellStyle name="xl188" xfId="118"/>
    <cellStyle name="xl189" xfId="155"/>
    <cellStyle name="xl190" xfId="157"/>
    <cellStyle name="xl191" xfId="160"/>
    <cellStyle name="xl192" xfId="164"/>
    <cellStyle name="xl193" xfId="169"/>
    <cellStyle name="xl194" xfId="130"/>
    <cellStyle name="xl195" xfId="172"/>
    <cellStyle name="xl196" xfId="139"/>
    <cellStyle name="xl197" xfId="193"/>
    <cellStyle name="xl198" xfId="119"/>
    <cellStyle name="xl199" xfId="158"/>
    <cellStyle name="xl200" xfId="123"/>
    <cellStyle name="xl21" xfId="201"/>
    <cellStyle name="xl22" xfId="21"/>
    <cellStyle name="xl23" xfId="28"/>
    <cellStyle name="xl24" xfId="32"/>
    <cellStyle name="xl25" xfId="39"/>
    <cellStyle name="xl26" xfId="27"/>
    <cellStyle name="xl27" xfId="25"/>
    <cellStyle name="xl28" xfId="55"/>
    <cellStyle name="xl29" xfId="59"/>
    <cellStyle name="xl30" xfId="65"/>
    <cellStyle name="xl31" xfId="6"/>
    <cellStyle name="xl32" xfId="202"/>
    <cellStyle name="xl33" xfId="33"/>
    <cellStyle name="xl34" xfId="15"/>
    <cellStyle name="xl34 2" xfId="50"/>
    <cellStyle name="xl35" xfId="60"/>
    <cellStyle name="xl36" xfId="66"/>
    <cellStyle name="xl37" xfId="72"/>
    <cellStyle name="xl38" xfId="74"/>
    <cellStyle name="xl39" xfId="51"/>
    <cellStyle name="xl40" xfId="43"/>
    <cellStyle name="xl41" xfId="61"/>
    <cellStyle name="xl42" xfId="67"/>
    <cellStyle name="xl43" xfId="7"/>
    <cellStyle name="xl44" xfId="57"/>
    <cellStyle name="xl45" xfId="58"/>
    <cellStyle name="xl46" xfId="17"/>
    <cellStyle name="xl47" xfId="76"/>
    <cellStyle name="xl48" xfId="22"/>
    <cellStyle name="xl49" xfId="40"/>
    <cellStyle name="xl50" xfId="46"/>
    <cellStyle name="xl51" xfId="48"/>
    <cellStyle name="xl52" xfId="16"/>
    <cellStyle name="xl52 2" xfId="29"/>
    <cellStyle name="xl53" xfId="34"/>
    <cellStyle name="xl54" xfId="41"/>
    <cellStyle name="xl55" xfId="23"/>
    <cellStyle name="xl56" xfId="54"/>
    <cellStyle name="xl57" xfId="30"/>
    <cellStyle name="xl58" xfId="35"/>
    <cellStyle name="xl59" xfId="42"/>
    <cellStyle name="xl60" xfId="45"/>
    <cellStyle name="xl61" xfId="47"/>
    <cellStyle name="xl62" xfId="49"/>
    <cellStyle name="xl63" xfId="52"/>
    <cellStyle name="xl64" xfId="53"/>
    <cellStyle name="xl65" xfId="24"/>
    <cellStyle name="xl66" xfId="31"/>
    <cellStyle name="xl67" xfId="36"/>
    <cellStyle name="xl68" xfId="62"/>
    <cellStyle name="xl69" xfId="26"/>
    <cellStyle name="xl70" xfId="37"/>
    <cellStyle name="xl71" xfId="44"/>
    <cellStyle name="xl72" xfId="56"/>
    <cellStyle name="xl73" xfId="63"/>
    <cellStyle name="xl74" xfId="68"/>
    <cellStyle name="xl75" xfId="73"/>
    <cellStyle name="xl76" xfId="75"/>
    <cellStyle name="xl77" xfId="38"/>
    <cellStyle name="xl78" xfId="64"/>
    <cellStyle name="xl79" xfId="69"/>
    <cellStyle name="xl80" xfId="70"/>
    <cellStyle name="xl81" xfId="71"/>
    <cellStyle name="xl82" xfId="77"/>
    <cellStyle name="xl83" xfId="79"/>
    <cellStyle name="xl84" xfId="82"/>
    <cellStyle name="xl85" xfId="89"/>
    <cellStyle name="xl86" xfId="91"/>
    <cellStyle name="xl87" xfId="78"/>
    <cellStyle name="xl88" xfId="87"/>
    <cellStyle name="xl89" xfId="90"/>
    <cellStyle name="xl90" xfId="92"/>
    <cellStyle name="xl91" xfId="97"/>
    <cellStyle name="xl92" xfId="83"/>
    <cellStyle name="xl93" xfId="93"/>
    <cellStyle name="xl94" xfId="80"/>
    <cellStyle name="xl95" xfId="84"/>
    <cellStyle name="xl96" xfId="94"/>
    <cellStyle name="xl97" xfId="85"/>
    <cellStyle name="xl98" xfId="88"/>
    <cellStyle name="xl99" xfId="95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5" xfId="20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47"/>
  <sheetViews>
    <sheetView tabSelected="1" view="pageBreakPreview" zoomScale="90" zoomScaleSheetLayoutView="90" workbookViewId="0">
      <pane xSplit="1" ySplit="9" topLeftCell="B100" activePane="bottomRight" state="frozen"/>
      <selection pane="topRight" activeCell="B1" sqref="B1"/>
      <selection pane="bottomLeft" activeCell="A8" sqref="A8"/>
      <selection pane="bottomRight" activeCell="F1" sqref="F1"/>
    </sheetView>
  </sheetViews>
  <sheetFormatPr defaultColWidth="8.88671875" defaultRowHeight="13.8" x14ac:dyDescent="0.25"/>
  <cols>
    <col min="1" max="1" width="53.88671875" style="106" customWidth="1"/>
    <col min="2" max="2" width="8" style="50" customWidth="1"/>
    <col min="3" max="3" width="20.88671875" style="49" customWidth="1"/>
    <col min="4" max="4" width="15.33203125" style="49" customWidth="1"/>
    <col min="5" max="5" width="13.77734375" style="50" customWidth="1"/>
    <col min="6" max="6" width="14.5546875" style="50" customWidth="1"/>
    <col min="7" max="7" width="12.77734375" style="6" customWidth="1"/>
    <col min="8" max="8" width="12.33203125" style="6" hidden="1" customWidth="1"/>
    <col min="9" max="9" width="10.88671875" style="6" hidden="1" customWidth="1"/>
    <col min="10" max="11" width="10" style="6" hidden="1" customWidth="1"/>
    <col min="12" max="12" width="8.88671875" style="6" hidden="1" customWidth="1"/>
    <col min="13" max="13" width="16.109375" style="6" hidden="1" customWidth="1"/>
    <col min="14" max="15" width="8.88671875" style="6" hidden="1" customWidth="1"/>
    <col min="16" max="16" width="3.6640625" style="6" hidden="1" customWidth="1"/>
    <col min="17" max="20" width="8.88671875" style="6" hidden="1" customWidth="1"/>
    <col min="21" max="21" width="0.33203125" style="6" hidden="1" customWidth="1"/>
    <col min="22" max="22" width="8.88671875" style="6" hidden="1" customWidth="1"/>
    <col min="23" max="23" width="0.33203125" style="6" hidden="1" customWidth="1"/>
    <col min="24" max="27" width="8.88671875" style="6" hidden="1" customWidth="1"/>
    <col min="28" max="35" width="8.88671875" style="50" hidden="1" customWidth="1"/>
    <col min="36" max="36" width="8.88671875" style="6" hidden="1" customWidth="1"/>
    <col min="37" max="37" width="1.88671875" style="6" hidden="1" customWidth="1"/>
    <col min="38" max="38" width="0.33203125" style="6" hidden="1" customWidth="1"/>
    <col min="39" max="49" width="8.88671875" style="6" hidden="1" customWidth="1"/>
    <col min="50" max="50" width="0.44140625" style="6" hidden="1" customWidth="1"/>
    <col min="51" max="51" width="8.88671875" style="50" hidden="1" customWidth="1"/>
    <col min="52" max="52" width="1.21875" style="50" hidden="1" customWidth="1"/>
    <col min="53" max="58" width="8.88671875" style="50" hidden="1" customWidth="1"/>
    <col min="59" max="59" width="19.33203125" style="50" hidden="1" customWidth="1"/>
    <col min="60" max="60" width="10" style="50" hidden="1" customWidth="1"/>
    <col min="61" max="65" width="8.88671875" style="50" hidden="1" customWidth="1"/>
    <col min="66" max="66" width="0.109375" style="6" hidden="1" customWidth="1"/>
    <col min="67" max="67" width="8.88671875" style="6" hidden="1" customWidth="1"/>
    <col min="68" max="68" width="14.5546875" style="50" customWidth="1"/>
    <col min="69" max="16384" width="8.88671875" style="50"/>
  </cols>
  <sheetData>
    <row r="1" spans="1:67" s="4" customFormat="1" ht="13.8" customHeight="1" x14ac:dyDescent="0.25">
      <c r="A1" s="90"/>
      <c r="B1" s="1"/>
      <c r="C1" s="2"/>
      <c r="F1" s="127" t="s">
        <v>567</v>
      </c>
      <c r="H1" s="126"/>
      <c r="I1" s="126"/>
      <c r="J1" s="126"/>
      <c r="K1" s="126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22"/>
      <c r="X1" s="3"/>
      <c r="Y1" s="3"/>
      <c r="Z1" s="3"/>
      <c r="AA1" s="3"/>
      <c r="AD1" s="5"/>
      <c r="AE1" s="5"/>
      <c r="AF1" s="5"/>
      <c r="AG1" s="5"/>
      <c r="AH1" s="5"/>
      <c r="AI1" s="5"/>
      <c r="AJ1" s="3"/>
      <c r="AK1" s="3"/>
      <c r="AL1" s="3"/>
      <c r="AM1" s="3"/>
      <c r="AN1" s="3"/>
      <c r="AO1" s="3"/>
      <c r="AP1" s="3"/>
      <c r="AQ1" s="3"/>
      <c r="AR1" s="3"/>
      <c r="AS1" s="6"/>
      <c r="AT1" s="6"/>
      <c r="AU1" s="3"/>
      <c r="AV1" s="3"/>
      <c r="AW1" s="3"/>
      <c r="AX1" s="3"/>
      <c r="BL1" s="139"/>
      <c r="BM1" s="139"/>
      <c r="BN1" s="3"/>
      <c r="BO1" s="3"/>
    </row>
    <row r="2" spans="1:67" s="4" customFormat="1" ht="14.4" customHeight="1" x14ac:dyDescent="0.25">
      <c r="A2" s="90"/>
      <c r="B2" s="7"/>
      <c r="C2" s="2"/>
      <c r="F2" s="4" t="s">
        <v>584</v>
      </c>
      <c r="H2" s="126"/>
      <c r="I2" s="126"/>
      <c r="J2" s="126"/>
      <c r="K2" s="126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22"/>
      <c r="X2" s="3"/>
      <c r="Y2" s="3"/>
      <c r="Z2" s="3"/>
      <c r="AA2" s="3"/>
      <c r="AD2" s="5"/>
      <c r="AE2" s="5"/>
      <c r="AF2" s="5"/>
      <c r="AG2" s="5"/>
      <c r="AH2" s="5"/>
      <c r="AI2" s="5"/>
      <c r="AJ2" s="3"/>
      <c r="AK2" s="3"/>
      <c r="AL2" s="3"/>
      <c r="AM2" s="3"/>
      <c r="AN2" s="3"/>
      <c r="AO2" s="3"/>
      <c r="AP2" s="3"/>
      <c r="AQ2" s="3"/>
      <c r="AR2" s="3"/>
      <c r="AS2" s="6"/>
      <c r="AT2" s="6"/>
      <c r="AU2" s="3"/>
      <c r="AV2" s="3"/>
      <c r="AW2" s="3"/>
      <c r="AX2" s="3"/>
      <c r="BL2" s="139"/>
      <c r="BM2" s="139"/>
      <c r="BN2" s="3"/>
      <c r="BO2" s="3"/>
    </row>
    <row r="3" spans="1:67" s="4" customFormat="1" ht="15.75" customHeight="1" x14ac:dyDescent="0.25">
      <c r="A3" s="90"/>
      <c r="B3" s="7"/>
      <c r="C3" s="2"/>
      <c r="D3" s="127"/>
      <c r="E3" s="127"/>
      <c r="F3" s="137" t="s">
        <v>585</v>
      </c>
      <c r="G3" s="137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22"/>
      <c r="X3" s="3"/>
      <c r="Y3" s="3"/>
      <c r="Z3" s="3"/>
      <c r="AA3" s="3"/>
      <c r="AD3" s="5"/>
      <c r="AE3" s="5"/>
      <c r="AF3" s="5"/>
      <c r="AG3" s="5"/>
      <c r="AH3" s="5"/>
      <c r="AI3" s="5"/>
      <c r="AJ3" s="3"/>
      <c r="AK3" s="3"/>
      <c r="AL3" s="3"/>
      <c r="AM3" s="3"/>
      <c r="AN3" s="3"/>
      <c r="AO3" s="3"/>
      <c r="AP3" s="3"/>
      <c r="AQ3" s="3"/>
      <c r="AR3" s="3"/>
      <c r="AS3" s="6"/>
      <c r="AT3" s="6"/>
      <c r="AU3" s="3"/>
      <c r="AV3" s="3"/>
      <c r="AW3" s="3"/>
      <c r="AX3" s="3"/>
      <c r="BL3" s="139"/>
      <c r="BM3" s="139"/>
      <c r="BN3" s="3"/>
      <c r="BO3" s="3"/>
    </row>
    <row r="4" spans="1:67" s="4" customFormat="1" ht="15.75" customHeight="1" x14ac:dyDescent="0.25">
      <c r="A4" s="90"/>
      <c r="B4" s="7"/>
      <c r="C4" s="2"/>
      <c r="D4" s="127"/>
      <c r="E4" s="127"/>
      <c r="F4" s="136" t="s">
        <v>587</v>
      </c>
      <c r="G4" s="136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22"/>
      <c r="X4" s="3"/>
      <c r="Y4" s="3"/>
      <c r="Z4" s="3"/>
      <c r="AA4" s="3"/>
      <c r="AD4" s="5"/>
      <c r="AE4" s="5"/>
      <c r="AF4" s="5"/>
      <c r="AG4" s="5"/>
      <c r="AH4" s="5"/>
      <c r="AI4" s="5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  <c r="AU4" s="3"/>
      <c r="AV4" s="3"/>
      <c r="AW4" s="3"/>
      <c r="AX4" s="3"/>
      <c r="BL4" s="121"/>
      <c r="BM4" s="121"/>
      <c r="BN4" s="3"/>
      <c r="BO4" s="3"/>
    </row>
    <row r="5" spans="1:67" s="4" customFormat="1" ht="15.75" customHeight="1" x14ac:dyDescent="0.25">
      <c r="A5" s="90"/>
      <c r="B5" s="7"/>
      <c r="C5" s="2"/>
      <c r="D5" s="127"/>
      <c r="E5" s="127"/>
      <c r="F5" s="137" t="s">
        <v>586</v>
      </c>
      <c r="G5" s="13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22"/>
      <c r="X5" s="3"/>
      <c r="Y5" s="3"/>
      <c r="Z5" s="3"/>
      <c r="AA5" s="3"/>
      <c r="AD5" s="5"/>
      <c r="AE5" s="5"/>
      <c r="AF5" s="5"/>
      <c r="AG5" s="5"/>
      <c r="AH5" s="5"/>
      <c r="AI5" s="5"/>
      <c r="AJ5" s="3"/>
      <c r="AK5" s="3"/>
      <c r="AL5" s="3"/>
      <c r="AM5" s="3"/>
      <c r="AN5" s="3"/>
      <c r="AO5" s="3"/>
      <c r="AP5" s="3"/>
      <c r="AQ5" s="3"/>
      <c r="AR5" s="3"/>
      <c r="AS5" s="6"/>
      <c r="AT5" s="6"/>
      <c r="AU5" s="3"/>
      <c r="AV5" s="3"/>
      <c r="AW5" s="3"/>
      <c r="AX5" s="3"/>
      <c r="BL5" s="121"/>
      <c r="BM5" s="121"/>
      <c r="BN5" s="3"/>
      <c r="BO5" s="3"/>
    </row>
    <row r="6" spans="1:67" s="10" customFormat="1" ht="21.6" customHeight="1" x14ac:dyDescent="0.3">
      <c r="A6" s="146" t="s">
        <v>588</v>
      </c>
      <c r="B6" s="146"/>
      <c r="C6" s="146"/>
      <c r="D6" s="146"/>
      <c r="E6" s="146"/>
      <c r="F6" s="146"/>
      <c r="G6" s="146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9"/>
      <c r="X6" s="8"/>
      <c r="Y6" s="8"/>
      <c r="Z6" s="8"/>
      <c r="AA6" s="8"/>
      <c r="AD6" s="5"/>
      <c r="AE6" s="5"/>
      <c r="AF6" s="5"/>
      <c r="AG6" s="5"/>
      <c r="AH6" s="5"/>
      <c r="AI6" s="5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BN6" s="8"/>
      <c r="BO6" s="8"/>
    </row>
    <row r="7" spans="1:67" s="4" customFormat="1" ht="20.399999999999999" customHeight="1" x14ac:dyDescent="0.25">
      <c r="A7" s="90"/>
      <c r="B7" s="11"/>
      <c r="C7" s="11"/>
      <c r="D7" s="83"/>
      <c r="G7" s="13" t="s">
        <v>306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22"/>
      <c r="X7" s="3"/>
      <c r="Y7" s="3"/>
      <c r="Z7" s="3"/>
      <c r="AA7" s="3"/>
      <c r="AD7" s="5"/>
      <c r="AE7" s="5"/>
      <c r="AF7" s="5"/>
      <c r="AG7" s="5"/>
      <c r="AH7" s="5"/>
      <c r="AI7" s="5"/>
      <c r="AJ7" s="3"/>
      <c r="AK7" s="3"/>
      <c r="AL7" s="3"/>
      <c r="AM7" s="3"/>
      <c r="AN7" s="3"/>
      <c r="AO7" s="3"/>
      <c r="AP7" s="3"/>
      <c r="AQ7" s="3"/>
      <c r="AR7" s="3"/>
      <c r="AS7" s="6"/>
      <c r="AT7" s="6"/>
      <c r="AU7" s="3"/>
      <c r="AV7" s="3"/>
      <c r="AW7" s="3"/>
      <c r="AX7" s="3"/>
      <c r="AY7" s="13"/>
      <c r="BN7" s="3"/>
      <c r="BO7" s="3"/>
    </row>
    <row r="8" spans="1:67" s="4" customFormat="1" ht="30.6" customHeight="1" x14ac:dyDescent="0.25">
      <c r="A8" s="131" t="s">
        <v>0</v>
      </c>
      <c r="B8" s="132" t="s">
        <v>1</v>
      </c>
      <c r="C8" s="132"/>
      <c r="D8" s="133" t="s">
        <v>545</v>
      </c>
      <c r="E8" s="133" t="s">
        <v>546</v>
      </c>
      <c r="F8" s="134" t="s">
        <v>583</v>
      </c>
      <c r="G8" s="133" t="s">
        <v>547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22"/>
      <c r="X8" s="3"/>
      <c r="Y8" s="3"/>
      <c r="Z8" s="3"/>
      <c r="AA8" s="3"/>
      <c r="AD8" s="5"/>
      <c r="AE8" s="5"/>
      <c r="AF8" s="5"/>
      <c r="AG8" s="5"/>
      <c r="AH8" s="5"/>
      <c r="AI8" s="5"/>
      <c r="AJ8" s="3"/>
      <c r="AK8" s="3"/>
      <c r="AL8" s="3"/>
      <c r="AM8" s="3"/>
      <c r="AN8" s="3"/>
      <c r="AO8" s="3"/>
      <c r="AP8" s="3"/>
      <c r="AQ8" s="3"/>
      <c r="AR8" s="3"/>
      <c r="AS8" s="6"/>
      <c r="AT8" s="6"/>
      <c r="AU8" s="3"/>
      <c r="AV8" s="3"/>
      <c r="AW8" s="3"/>
      <c r="AX8" s="3"/>
      <c r="BN8" s="3"/>
      <c r="BO8" s="3"/>
    </row>
    <row r="9" spans="1:67" s="4" customFormat="1" ht="46.8" customHeight="1" x14ac:dyDescent="0.25">
      <c r="A9" s="131"/>
      <c r="B9" s="14" t="s">
        <v>2</v>
      </c>
      <c r="C9" s="14" t="s">
        <v>3</v>
      </c>
      <c r="D9" s="133"/>
      <c r="E9" s="133"/>
      <c r="F9" s="134"/>
      <c r="G9" s="133"/>
      <c r="H9" s="15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22"/>
      <c r="X9" s="3"/>
      <c r="Y9" s="3"/>
      <c r="Z9" s="3"/>
      <c r="AA9" s="3"/>
      <c r="AD9" s="5"/>
      <c r="AE9" s="5"/>
      <c r="AF9" s="5"/>
      <c r="AG9" s="5"/>
      <c r="AH9" s="5"/>
      <c r="AI9" s="5"/>
      <c r="AJ9" s="3"/>
      <c r="AK9" s="3"/>
      <c r="AL9" s="3"/>
      <c r="AM9" s="3"/>
      <c r="AN9" s="3"/>
      <c r="AO9" s="3"/>
      <c r="AP9" s="3"/>
      <c r="AQ9" s="3"/>
      <c r="AR9" s="3"/>
      <c r="AS9" s="6"/>
      <c r="AT9" s="6"/>
      <c r="AU9" s="3"/>
      <c r="AV9" s="3"/>
      <c r="AW9" s="3"/>
      <c r="AX9" s="3"/>
      <c r="BN9" s="3"/>
      <c r="BO9" s="3"/>
    </row>
    <row r="10" spans="1:67" s="4" customFormat="1" x14ac:dyDescent="0.25">
      <c r="A10" s="118">
        <v>1</v>
      </c>
      <c r="B10" s="14">
        <v>2</v>
      </c>
      <c r="C10" s="14">
        <v>3</v>
      </c>
      <c r="D10" s="119">
        <v>4</v>
      </c>
      <c r="E10" s="119">
        <v>5</v>
      </c>
      <c r="F10" s="109" t="s">
        <v>559</v>
      </c>
      <c r="G10" s="119">
        <v>7</v>
      </c>
      <c r="H10" s="15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22"/>
      <c r="X10" s="3"/>
      <c r="Y10" s="3"/>
      <c r="Z10" s="3"/>
      <c r="AA10" s="3"/>
      <c r="AD10" s="5"/>
      <c r="AE10" s="5"/>
      <c r="AF10" s="5"/>
      <c r="AG10" s="5"/>
      <c r="AH10" s="5"/>
      <c r="AI10" s="5"/>
      <c r="AJ10" s="3"/>
      <c r="AK10" s="3"/>
      <c r="AL10" s="3"/>
      <c r="AM10" s="3"/>
      <c r="AN10" s="3"/>
      <c r="AO10" s="3"/>
      <c r="AP10" s="3"/>
      <c r="AQ10" s="3"/>
      <c r="AR10" s="3"/>
      <c r="AS10" s="6"/>
      <c r="AT10" s="6"/>
      <c r="AU10" s="3"/>
      <c r="AV10" s="3"/>
      <c r="AW10" s="3"/>
      <c r="AX10" s="3"/>
      <c r="BN10" s="3"/>
      <c r="BO10" s="3"/>
    </row>
    <row r="11" spans="1:67" s="4" customFormat="1" ht="16.2" customHeight="1" x14ac:dyDescent="0.25">
      <c r="A11" s="78" t="s">
        <v>4</v>
      </c>
      <c r="B11" s="16" t="s">
        <v>5</v>
      </c>
      <c r="C11" s="62" t="s">
        <v>6</v>
      </c>
      <c r="D11" s="54">
        <f>+D12+D21+D31+D45+D53+D63+D102+D112+D130+D142+D210</f>
        <v>1308947416.3900003</v>
      </c>
      <c r="E11" s="54">
        <f>+E12+E21+E31+E45+E53+E63+E102+E112+E130+E142+E210+E59</f>
        <v>1203197810.6700003</v>
      </c>
      <c r="F11" s="54">
        <f>+E11-D11</f>
        <v>-105749605.72000003</v>
      </c>
      <c r="G11" s="125">
        <f t="shared" ref="G11:G71" si="0">E11/D11*100</f>
        <v>91.9210195615305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43"/>
      <c r="V11" s="143"/>
      <c r="W11" s="143"/>
      <c r="X11" s="3"/>
      <c r="Y11" s="3"/>
      <c r="Z11" s="3"/>
      <c r="AA11" s="3"/>
      <c r="AD11" s="5"/>
      <c r="AE11" s="5"/>
      <c r="AF11" s="5"/>
      <c r="AG11" s="5"/>
      <c r="AH11" s="5"/>
      <c r="AI11" s="5"/>
      <c r="AJ11" s="3"/>
      <c r="AK11" s="3"/>
      <c r="AL11" s="3"/>
      <c r="AM11" s="3"/>
      <c r="AN11" s="3"/>
      <c r="AO11" s="3"/>
      <c r="AP11" s="3"/>
      <c r="AQ11" s="3"/>
      <c r="AR11" s="3"/>
      <c r="AS11" s="6"/>
      <c r="AT11" s="6"/>
      <c r="AU11" s="3"/>
      <c r="AV11" s="3"/>
      <c r="AW11" s="3"/>
      <c r="AX11" s="3"/>
      <c r="BN11" s="3"/>
      <c r="BO11" s="3"/>
    </row>
    <row r="12" spans="1:67" s="20" customFormat="1" x14ac:dyDescent="0.25">
      <c r="A12" s="78" t="s">
        <v>7</v>
      </c>
      <c r="B12" s="16" t="s">
        <v>5</v>
      </c>
      <c r="C12" s="17" t="s">
        <v>8</v>
      </c>
      <c r="D12" s="54">
        <f>+D13</f>
        <v>709716801</v>
      </c>
      <c r="E12" s="54">
        <f>+E13</f>
        <v>679370414.37</v>
      </c>
      <c r="F12" s="54">
        <f t="shared" ref="F12:F72" si="1">+E12-D12</f>
        <v>-30346386.629999995</v>
      </c>
      <c r="G12" s="125">
        <f t="shared" si="0"/>
        <v>95.724155524113058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9"/>
      <c r="V12" s="19"/>
      <c r="W12" s="19"/>
      <c r="X12" s="6"/>
      <c r="Y12" s="6"/>
      <c r="Z12" s="18"/>
      <c r="AA12" s="18"/>
      <c r="AD12" s="21"/>
      <c r="AE12" s="21"/>
      <c r="AF12" s="21"/>
      <c r="AG12" s="21"/>
      <c r="AH12" s="21"/>
      <c r="AI12" s="21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BN12" s="18"/>
      <c r="BO12" s="18"/>
    </row>
    <row r="13" spans="1:67" s="23" customFormat="1" ht="13.2" x14ac:dyDescent="0.25">
      <c r="A13" s="78" t="s">
        <v>9</v>
      </c>
      <c r="B13" s="16" t="s">
        <v>5</v>
      </c>
      <c r="C13" s="17" t="s">
        <v>10</v>
      </c>
      <c r="D13" s="54">
        <f>+D14+D15+D17+D16+D18+D19+D20</f>
        <v>709716801</v>
      </c>
      <c r="E13" s="54">
        <f t="shared" ref="E13" si="2">+E14+E15+E17+E16+E18+E19+E20</f>
        <v>679370414.37</v>
      </c>
      <c r="F13" s="54">
        <f t="shared" si="1"/>
        <v>-30346386.629999995</v>
      </c>
      <c r="G13" s="125">
        <f t="shared" si="0"/>
        <v>95.724155524113058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143"/>
      <c r="V13" s="143"/>
      <c r="W13" s="143"/>
      <c r="X13" s="3"/>
      <c r="Y13" s="3"/>
      <c r="Z13" s="22"/>
      <c r="AA13" s="22"/>
      <c r="AD13" s="21"/>
      <c r="AE13" s="21"/>
      <c r="AF13" s="21"/>
      <c r="AG13" s="21"/>
      <c r="AH13" s="21"/>
      <c r="AI13" s="21"/>
      <c r="AJ13" s="22"/>
      <c r="AK13" s="22"/>
      <c r="AL13" s="22"/>
      <c r="AM13" s="22"/>
      <c r="AN13" s="24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BN13" s="22"/>
      <c r="BO13" s="22"/>
    </row>
    <row r="14" spans="1:67" s="4" customFormat="1" ht="66" x14ac:dyDescent="0.25">
      <c r="A14" s="91" t="s">
        <v>11</v>
      </c>
      <c r="B14" s="63" t="s">
        <v>12</v>
      </c>
      <c r="C14" s="63" t="s">
        <v>13</v>
      </c>
      <c r="D14" s="54">
        <f>610349951+28266049+41</f>
        <v>638616041</v>
      </c>
      <c r="E14" s="54">
        <v>612988321.38999999</v>
      </c>
      <c r="F14" s="54">
        <f t="shared" si="1"/>
        <v>-25627719.610000014</v>
      </c>
      <c r="G14" s="125">
        <f t="shared" si="0"/>
        <v>95.98699093591982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25"/>
      <c r="V14" s="25"/>
      <c r="W14" s="26"/>
      <c r="X14" s="3"/>
      <c r="Y14" s="3"/>
      <c r="Z14" s="3"/>
      <c r="AA14" s="3"/>
      <c r="AD14" s="5"/>
      <c r="AE14" s="5"/>
      <c r="AF14" s="5"/>
      <c r="AG14" s="5"/>
      <c r="AH14" s="5"/>
      <c r="AI14" s="5"/>
      <c r="AJ14" s="3"/>
      <c r="AK14" s="3"/>
      <c r="AL14" s="3"/>
      <c r="AM14" s="3"/>
      <c r="AN14" s="25"/>
      <c r="AO14" s="3"/>
      <c r="AP14" s="3"/>
      <c r="AQ14" s="3"/>
      <c r="AR14" s="3"/>
      <c r="AS14" s="6"/>
      <c r="AT14" s="6"/>
      <c r="AU14" s="3"/>
      <c r="AV14" s="3"/>
      <c r="AW14" s="3"/>
      <c r="AX14" s="3"/>
      <c r="BN14" s="3"/>
      <c r="BO14" s="3"/>
    </row>
    <row r="15" spans="1:67" s="4" customFormat="1" ht="92.4" x14ac:dyDescent="0.25">
      <c r="A15" s="91" t="s">
        <v>14</v>
      </c>
      <c r="B15" s="63" t="s">
        <v>12</v>
      </c>
      <c r="C15" s="63" t="s">
        <v>15</v>
      </c>
      <c r="D15" s="54">
        <f>687790+2012210+1400000</f>
        <v>4100000</v>
      </c>
      <c r="E15" s="54">
        <v>3062964.64</v>
      </c>
      <c r="F15" s="54">
        <f t="shared" si="1"/>
        <v>-1037035.3599999999</v>
      </c>
      <c r="G15" s="125">
        <f t="shared" si="0"/>
        <v>74.70645463414634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22"/>
      <c r="X15" s="3"/>
      <c r="Y15" s="3"/>
      <c r="Z15" s="3"/>
      <c r="AA15" s="3"/>
      <c r="AD15" s="5"/>
      <c r="AE15" s="5"/>
      <c r="AF15" s="5"/>
      <c r="AG15" s="5"/>
      <c r="AH15" s="5"/>
      <c r="AI15" s="5"/>
      <c r="AJ15" s="3"/>
      <c r="AK15" s="3"/>
      <c r="AL15" s="3"/>
      <c r="AM15" s="3"/>
      <c r="AN15" s="25"/>
      <c r="AO15" s="3"/>
      <c r="AP15" s="3"/>
      <c r="AQ15" s="3"/>
      <c r="AR15" s="3"/>
      <c r="AS15" s="6"/>
      <c r="AT15" s="6"/>
      <c r="AU15" s="3"/>
      <c r="AV15" s="3"/>
      <c r="AW15" s="3"/>
      <c r="AX15" s="3"/>
      <c r="BN15" s="3"/>
      <c r="BO15" s="3"/>
    </row>
    <row r="16" spans="1:67" s="4" customFormat="1" ht="39.6" x14ac:dyDescent="0.25">
      <c r="A16" s="91" t="s">
        <v>16</v>
      </c>
      <c r="B16" s="63" t="s">
        <v>12</v>
      </c>
      <c r="C16" s="63" t="s">
        <v>17</v>
      </c>
      <c r="D16" s="54">
        <f>6500760</f>
        <v>6500760</v>
      </c>
      <c r="E16" s="54">
        <v>4712258.72</v>
      </c>
      <c r="F16" s="54">
        <f t="shared" si="1"/>
        <v>-1788501.2800000003</v>
      </c>
      <c r="G16" s="125">
        <f t="shared" si="0"/>
        <v>72.487812501922846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22"/>
      <c r="X16" s="3"/>
      <c r="Y16" s="3"/>
      <c r="Z16" s="3"/>
      <c r="AA16" s="3"/>
      <c r="AD16" s="5"/>
      <c r="AE16" s="5"/>
      <c r="AF16" s="5"/>
      <c r="AG16" s="5"/>
      <c r="AH16" s="5"/>
      <c r="AI16" s="5"/>
      <c r="AJ16" s="3"/>
      <c r="AK16" s="3"/>
      <c r="AL16" s="3"/>
      <c r="AM16" s="3"/>
      <c r="AN16" s="25"/>
      <c r="AO16" s="3"/>
      <c r="AP16" s="3"/>
      <c r="AQ16" s="3"/>
      <c r="AR16" s="3"/>
      <c r="AS16" s="6"/>
      <c r="AT16" s="6"/>
      <c r="AU16" s="3"/>
      <c r="AV16" s="3"/>
      <c r="AW16" s="3"/>
      <c r="AX16" s="3"/>
      <c r="BN16" s="3"/>
      <c r="BO16" s="3"/>
    </row>
    <row r="17" spans="1:67" s="4" customFormat="1" ht="79.2" x14ac:dyDescent="0.25">
      <c r="A17" s="91" t="s">
        <v>18</v>
      </c>
      <c r="B17" s="63" t="s">
        <v>12</v>
      </c>
      <c r="C17" s="63" t="s">
        <v>19</v>
      </c>
      <c r="D17" s="54">
        <f>17744430-10244430</f>
        <v>7500000</v>
      </c>
      <c r="E17" s="54">
        <v>7437227.9100000001</v>
      </c>
      <c r="F17" s="54">
        <f t="shared" si="1"/>
        <v>-62772.089999999851</v>
      </c>
      <c r="G17" s="125">
        <f t="shared" si="0"/>
        <v>99.16303880000001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22"/>
      <c r="X17" s="3"/>
      <c r="Y17" s="3"/>
      <c r="Z17" s="3"/>
      <c r="AA17" s="3"/>
      <c r="AD17" s="5"/>
      <c r="AE17" s="5"/>
      <c r="AF17" s="5"/>
      <c r="AG17" s="5"/>
      <c r="AH17" s="5"/>
      <c r="AI17" s="5"/>
      <c r="AJ17" s="3"/>
      <c r="AK17" s="3"/>
      <c r="AL17" s="3"/>
      <c r="AM17" s="3"/>
      <c r="AN17" s="25"/>
      <c r="AO17" s="3"/>
      <c r="AP17" s="3"/>
      <c r="AQ17" s="3"/>
      <c r="AR17" s="3"/>
      <c r="AS17" s="6"/>
      <c r="AT17" s="6"/>
      <c r="AU17" s="3"/>
      <c r="AV17" s="3"/>
      <c r="AW17" s="3"/>
      <c r="AX17" s="3"/>
      <c r="BN17" s="3"/>
      <c r="BO17" s="3"/>
    </row>
    <row r="18" spans="1:67" s="4" customFormat="1" ht="79.2" x14ac:dyDescent="0.25">
      <c r="A18" s="91" t="s">
        <v>309</v>
      </c>
      <c r="B18" s="63" t="s">
        <v>12</v>
      </c>
      <c r="C18" s="63" t="s">
        <v>308</v>
      </c>
      <c r="D18" s="54">
        <f>49021660-19021660-1500000</f>
        <v>28500000</v>
      </c>
      <c r="E18" s="54">
        <v>28303527.25</v>
      </c>
      <c r="F18" s="54">
        <f t="shared" si="1"/>
        <v>-196472.75</v>
      </c>
      <c r="G18" s="125">
        <f t="shared" si="0"/>
        <v>99.310621929824563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22"/>
      <c r="X18" s="3"/>
      <c r="Y18" s="3"/>
      <c r="Z18" s="3"/>
      <c r="AA18" s="3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25"/>
      <c r="AO18" s="3"/>
      <c r="AP18" s="3"/>
      <c r="AQ18" s="3"/>
      <c r="AR18" s="3"/>
      <c r="AS18" s="6"/>
      <c r="AT18" s="6"/>
      <c r="AU18" s="3"/>
      <c r="AV18" s="3"/>
      <c r="AW18" s="3"/>
      <c r="AX18" s="3"/>
      <c r="BN18" s="3"/>
      <c r="BO18" s="3"/>
    </row>
    <row r="19" spans="1:67" s="4" customFormat="1" ht="39.6" x14ac:dyDescent="0.25">
      <c r="A19" s="89" t="s">
        <v>383</v>
      </c>
      <c r="B19" s="63" t="s">
        <v>12</v>
      </c>
      <c r="C19" s="76" t="s">
        <v>381</v>
      </c>
      <c r="D19" s="54">
        <f>1000000+2000000+4500000</f>
        <v>7500000</v>
      </c>
      <c r="E19" s="54">
        <v>6626925.21</v>
      </c>
      <c r="F19" s="54">
        <f t="shared" si="1"/>
        <v>-873074.79</v>
      </c>
      <c r="G19" s="125">
        <f t="shared" si="0"/>
        <v>88.359002799999999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22"/>
      <c r="X19" s="3"/>
      <c r="Y19" s="3"/>
      <c r="Z19" s="3"/>
      <c r="AA19" s="3"/>
      <c r="AD19" s="5"/>
      <c r="AE19" s="5"/>
      <c r="AF19" s="5"/>
      <c r="AG19" s="5"/>
      <c r="AH19" s="5"/>
      <c r="AI19" s="5"/>
      <c r="AJ19" s="3"/>
      <c r="AK19" s="3"/>
      <c r="AL19" s="3"/>
      <c r="AM19" s="3"/>
      <c r="AN19" s="25"/>
      <c r="AO19" s="3"/>
      <c r="AP19" s="3"/>
      <c r="AQ19" s="3"/>
      <c r="AR19" s="3"/>
      <c r="AS19" s="6"/>
      <c r="AT19" s="6"/>
      <c r="AU19" s="3"/>
      <c r="AV19" s="3"/>
      <c r="AW19" s="3"/>
      <c r="AX19" s="3"/>
      <c r="BN19" s="3"/>
      <c r="BO19" s="3"/>
    </row>
    <row r="20" spans="1:67" s="4" customFormat="1" ht="39.6" x14ac:dyDescent="0.25">
      <c r="A20" s="89" t="s">
        <v>384</v>
      </c>
      <c r="B20" s="63" t="s">
        <v>12</v>
      </c>
      <c r="C20" s="76" t="s">
        <v>382</v>
      </c>
      <c r="D20" s="54">
        <f>58312.15+2341687.85+12100000+1000000+1500000</f>
        <v>17000000</v>
      </c>
      <c r="E20" s="54">
        <v>16239189.25</v>
      </c>
      <c r="F20" s="54">
        <f t="shared" si="1"/>
        <v>-760810.75</v>
      </c>
      <c r="G20" s="125">
        <f t="shared" si="0"/>
        <v>95.524642647058826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22"/>
      <c r="X20" s="3"/>
      <c r="Y20" s="3"/>
      <c r="Z20" s="3"/>
      <c r="AA20" s="3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25"/>
      <c r="AO20" s="3"/>
      <c r="AP20" s="3"/>
      <c r="AQ20" s="3"/>
      <c r="AR20" s="3"/>
      <c r="AS20" s="6"/>
      <c r="AT20" s="6"/>
      <c r="AU20" s="3"/>
      <c r="AV20" s="3"/>
      <c r="AW20" s="3"/>
      <c r="AX20" s="3"/>
      <c r="BN20" s="3"/>
      <c r="BO20" s="3"/>
    </row>
    <row r="21" spans="1:67" s="4" customFormat="1" ht="29.4" customHeight="1" x14ac:dyDescent="0.25">
      <c r="A21" s="91" t="s">
        <v>20</v>
      </c>
      <c r="B21" s="63" t="s">
        <v>5</v>
      </c>
      <c r="C21" s="63" t="s">
        <v>21</v>
      </c>
      <c r="D21" s="54">
        <f>+D22</f>
        <v>18231900</v>
      </c>
      <c r="E21" s="54">
        <f>+E22</f>
        <v>18412425.470000003</v>
      </c>
      <c r="F21" s="54">
        <f t="shared" si="1"/>
        <v>180525.47000000253</v>
      </c>
      <c r="G21" s="125">
        <f t="shared" si="0"/>
        <v>100.99016268189274</v>
      </c>
      <c r="H21" s="27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22"/>
      <c r="X21" s="3"/>
      <c r="Y21" s="3"/>
      <c r="Z21" s="3"/>
      <c r="AA21" s="3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3"/>
      <c r="AO21" s="3"/>
      <c r="AP21" s="3"/>
      <c r="AQ21" s="3"/>
      <c r="AR21" s="3"/>
      <c r="AS21" s="6"/>
      <c r="AT21" s="6"/>
      <c r="AU21" s="3"/>
      <c r="AV21" s="3"/>
      <c r="AW21" s="3"/>
      <c r="AX21" s="3"/>
      <c r="BN21" s="3"/>
      <c r="BO21" s="3"/>
    </row>
    <row r="22" spans="1:67" s="4" customFormat="1" ht="26.4" x14ac:dyDescent="0.25">
      <c r="A22" s="80" t="s">
        <v>22</v>
      </c>
      <c r="B22" s="63" t="s">
        <v>5</v>
      </c>
      <c r="C22" s="63" t="s">
        <v>23</v>
      </c>
      <c r="D22" s="54">
        <f>+D23+D25+D27+D29</f>
        <v>18231900</v>
      </c>
      <c r="E22" s="54">
        <f t="shared" ref="E22" si="3">+E23+E25+E27+E29</f>
        <v>18412425.470000003</v>
      </c>
      <c r="F22" s="54">
        <f t="shared" si="1"/>
        <v>180525.47000000253</v>
      </c>
      <c r="G22" s="125">
        <f t="shared" si="0"/>
        <v>100.99016268189274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22"/>
      <c r="X22" s="3"/>
      <c r="Y22" s="3"/>
      <c r="Z22" s="3"/>
      <c r="AA22" s="3"/>
      <c r="AD22" s="5"/>
      <c r="AE22" s="5"/>
      <c r="AF22" s="5"/>
      <c r="AG22" s="5"/>
      <c r="AH22" s="5"/>
      <c r="AI22" s="5"/>
      <c r="AJ22" s="3"/>
      <c r="AK22" s="3"/>
      <c r="AL22" s="3"/>
      <c r="AM22" s="3"/>
      <c r="AN22" s="144"/>
      <c r="AO22" s="3"/>
      <c r="AP22" s="3"/>
      <c r="AQ22" s="3"/>
      <c r="AR22" s="3"/>
      <c r="AS22" s="6"/>
      <c r="AT22" s="6"/>
      <c r="AU22" s="3"/>
      <c r="AV22" s="3"/>
      <c r="AW22" s="3"/>
      <c r="AX22" s="3"/>
      <c r="AY22" s="23"/>
      <c r="BN22" s="3"/>
      <c r="BO22" s="3"/>
    </row>
    <row r="23" spans="1:67" s="4" customFormat="1" ht="59.4" customHeight="1" x14ac:dyDescent="0.25">
      <c r="A23" s="80" t="s">
        <v>24</v>
      </c>
      <c r="B23" s="63" t="s">
        <v>5</v>
      </c>
      <c r="C23" s="63" t="s">
        <v>25</v>
      </c>
      <c r="D23" s="54">
        <f t="shared" ref="D23:E23" si="4">+D24</f>
        <v>9376000</v>
      </c>
      <c r="E23" s="54">
        <f t="shared" si="4"/>
        <v>9540481.3300000001</v>
      </c>
      <c r="F23" s="54">
        <f t="shared" si="1"/>
        <v>164481.33000000007</v>
      </c>
      <c r="G23" s="125">
        <f t="shared" si="0"/>
        <v>101.75428039675769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22"/>
      <c r="X23" s="3"/>
      <c r="Y23" s="3"/>
      <c r="Z23" s="3"/>
      <c r="AA23" s="3"/>
      <c r="AD23" s="5"/>
      <c r="AE23" s="5"/>
      <c r="AF23" s="5"/>
      <c r="AG23" s="5"/>
      <c r="AH23" s="5"/>
      <c r="AI23" s="5"/>
      <c r="AJ23" s="3"/>
      <c r="AK23" s="3"/>
      <c r="AL23" s="3"/>
      <c r="AM23" s="3"/>
      <c r="AN23" s="144"/>
      <c r="AO23" s="3"/>
      <c r="AP23" s="3"/>
      <c r="AQ23" s="3"/>
      <c r="AR23" s="3"/>
      <c r="AS23" s="6"/>
      <c r="AT23" s="6"/>
      <c r="AU23" s="3"/>
      <c r="AV23" s="3"/>
      <c r="AW23" s="3"/>
      <c r="AX23" s="3"/>
      <c r="BN23" s="3"/>
      <c r="BO23" s="3"/>
    </row>
    <row r="24" spans="1:67" s="4" customFormat="1" ht="92.4" x14ac:dyDescent="0.25">
      <c r="A24" s="80" t="s">
        <v>26</v>
      </c>
      <c r="B24" s="75">
        <v>182</v>
      </c>
      <c r="C24" s="64" t="s">
        <v>27</v>
      </c>
      <c r="D24" s="55">
        <f>4753570+2738860+1883570</f>
        <v>9376000</v>
      </c>
      <c r="E24" s="55">
        <v>9540481.3300000001</v>
      </c>
      <c r="F24" s="54">
        <f t="shared" si="1"/>
        <v>164481.33000000007</v>
      </c>
      <c r="G24" s="125">
        <f t="shared" si="0"/>
        <v>101.75428039675769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22"/>
      <c r="X24" s="3"/>
      <c r="Y24" s="3"/>
      <c r="Z24" s="3"/>
      <c r="AA24" s="3"/>
      <c r="AD24" s="5"/>
      <c r="AE24" s="5"/>
      <c r="AF24" s="5"/>
      <c r="AG24" s="5"/>
      <c r="AH24" s="5"/>
      <c r="AI24" s="5"/>
      <c r="AJ24" s="3"/>
      <c r="AK24" s="3"/>
      <c r="AL24" s="3"/>
      <c r="AM24" s="3"/>
      <c r="AN24" s="144"/>
      <c r="AO24" s="3"/>
      <c r="AP24" s="3"/>
      <c r="AQ24" s="3"/>
      <c r="AR24" s="3"/>
      <c r="AS24" s="6"/>
      <c r="AT24" s="6"/>
      <c r="AU24" s="3"/>
      <c r="AV24" s="3"/>
      <c r="AW24" s="3"/>
      <c r="AX24" s="3"/>
      <c r="BN24" s="3"/>
      <c r="BO24" s="3"/>
    </row>
    <row r="25" spans="1:67" s="4" customFormat="1" ht="68.400000000000006" customHeight="1" x14ac:dyDescent="0.25">
      <c r="A25" s="80" t="s">
        <v>28</v>
      </c>
      <c r="B25" s="63" t="s">
        <v>5</v>
      </c>
      <c r="C25" s="63" t="s">
        <v>29</v>
      </c>
      <c r="D25" s="54">
        <f>+D26</f>
        <v>47200</v>
      </c>
      <c r="E25" s="54">
        <f>+E26</f>
        <v>49828.959999999999</v>
      </c>
      <c r="F25" s="54">
        <f t="shared" si="1"/>
        <v>2628.9599999999991</v>
      </c>
      <c r="G25" s="125">
        <f t="shared" si="0"/>
        <v>105.56983050847457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22"/>
      <c r="X25" s="3"/>
      <c r="Y25" s="3"/>
      <c r="Z25" s="3"/>
      <c r="AA25" s="3"/>
      <c r="AD25" s="5"/>
      <c r="AE25" s="5"/>
      <c r="AF25" s="5"/>
      <c r="AG25" s="5"/>
      <c r="AH25" s="5"/>
      <c r="AI25" s="5"/>
      <c r="AJ25" s="3"/>
      <c r="AK25" s="3"/>
      <c r="AL25" s="3"/>
      <c r="AM25" s="3"/>
      <c r="AN25" s="144"/>
      <c r="AO25" s="3"/>
      <c r="AP25" s="3"/>
      <c r="AQ25" s="3"/>
      <c r="AR25" s="3"/>
      <c r="AS25" s="6"/>
      <c r="AT25" s="6"/>
      <c r="AU25" s="3"/>
      <c r="AV25" s="3"/>
      <c r="AW25" s="3"/>
      <c r="AX25" s="3"/>
      <c r="BN25" s="3"/>
      <c r="BO25" s="3"/>
    </row>
    <row r="26" spans="1:67" s="4" customFormat="1" ht="105.6" x14ac:dyDescent="0.25">
      <c r="A26" s="80" t="s">
        <v>30</v>
      </c>
      <c r="B26" s="63" t="s">
        <v>12</v>
      </c>
      <c r="C26" s="64" t="s">
        <v>327</v>
      </c>
      <c r="D26" s="55">
        <f>26550+25490-4840</f>
        <v>47200</v>
      </c>
      <c r="E26" s="55">
        <v>49828.959999999999</v>
      </c>
      <c r="F26" s="54">
        <f t="shared" si="1"/>
        <v>2628.9599999999991</v>
      </c>
      <c r="G26" s="125">
        <f t="shared" si="0"/>
        <v>105.56983050847457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22"/>
      <c r="X26" s="3"/>
      <c r="Y26" s="3"/>
      <c r="Z26" s="3"/>
      <c r="AA26" s="3"/>
      <c r="AD26" s="5"/>
      <c r="AE26" s="5"/>
      <c r="AF26" s="5"/>
      <c r="AG26" s="5"/>
      <c r="AH26" s="5"/>
      <c r="AI26" s="5"/>
      <c r="AJ26" s="3"/>
      <c r="AK26" s="3"/>
      <c r="AL26" s="3"/>
      <c r="AM26" s="3"/>
      <c r="AN26" s="144"/>
      <c r="AO26" s="3"/>
      <c r="AP26" s="3"/>
      <c r="AQ26" s="3"/>
      <c r="AR26" s="3"/>
      <c r="AS26" s="6"/>
      <c r="AT26" s="6"/>
      <c r="AU26" s="3"/>
      <c r="AV26" s="3"/>
      <c r="AW26" s="3"/>
      <c r="AX26" s="3"/>
      <c r="BN26" s="3"/>
      <c r="BO26" s="3"/>
    </row>
    <row r="27" spans="1:67" s="4" customFormat="1" ht="59.4" customHeight="1" x14ac:dyDescent="0.25">
      <c r="A27" s="80" t="s">
        <v>31</v>
      </c>
      <c r="B27" s="63" t="s">
        <v>5</v>
      </c>
      <c r="C27" s="63" t="s">
        <v>32</v>
      </c>
      <c r="D27" s="54">
        <f>+D28</f>
        <v>9953800</v>
      </c>
      <c r="E27" s="54">
        <f>+E28</f>
        <v>9860831.9000000004</v>
      </c>
      <c r="F27" s="54">
        <f t="shared" si="1"/>
        <v>-92968.099999999627</v>
      </c>
      <c r="G27" s="125">
        <f t="shared" si="0"/>
        <v>99.066003938194456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122"/>
      <c r="X27" s="3"/>
      <c r="Y27" s="3"/>
      <c r="Z27" s="3"/>
      <c r="AA27" s="3"/>
      <c r="AD27" s="5"/>
      <c r="AE27" s="5"/>
      <c r="AF27" s="5"/>
      <c r="AG27" s="5"/>
      <c r="AH27" s="5"/>
      <c r="AI27" s="5"/>
      <c r="AJ27" s="3"/>
      <c r="AK27" s="3"/>
      <c r="AL27" s="3"/>
      <c r="AM27" s="3"/>
      <c r="AN27" s="144"/>
      <c r="AO27" s="3"/>
      <c r="AP27" s="3"/>
      <c r="AQ27" s="3"/>
      <c r="AR27" s="3"/>
      <c r="AS27" s="6"/>
      <c r="AT27" s="6"/>
      <c r="AU27" s="3"/>
      <c r="AV27" s="3"/>
      <c r="AW27" s="3"/>
      <c r="AX27" s="3"/>
      <c r="BN27" s="3"/>
      <c r="BO27" s="3"/>
    </row>
    <row r="28" spans="1:67" s="4" customFormat="1" ht="95.25" customHeight="1" x14ac:dyDescent="0.25">
      <c r="A28" s="80" t="s">
        <v>33</v>
      </c>
      <c r="B28" s="63" t="s">
        <v>12</v>
      </c>
      <c r="C28" s="64" t="s">
        <v>328</v>
      </c>
      <c r="D28" s="55">
        <f>3045220+6216950+691630</f>
        <v>9953800</v>
      </c>
      <c r="E28" s="55">
        <v>9860831.9000000004</v>
      </c>
      <c r="F28" s="54">
        <f t="shared" si="1"/>
        <v>-92968.099999999627</v>
      </c>
      <c r="G28" s="125">
        <f t="shared" si="0"/>
        <v>99.066003938194456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122"/>
      <c r="X28" s="3"/>
      <c r="Y28" s="3"/>
      <c r="Z28" s="3"/>
      <c r="AA28" s="3"/>
      <c r="AD28" s="5"/>
      <c r="AE28" s="5"/>
      <c r="AF28" s="5"/>
      <c r="AG28" s="5"/>
      <c r="AH28" s="5"/>
      <c r="AI28" s="5"/>
      <c r="AJ28" s="3"/>
      <c r="AK28" s="3"/>
      <c r="AL28" s="3"/>
      <c r="AM28" s="3"/>
      <c r="AN28" s="144"/>
      <c r="AO28" s="3"/>
      <c r="AP28" s="3"/>
      <c r="AQ28" s="3"/>
      <c r="AR28" s="3"/>
      <c r="AS28" s="6"/>
      <c r="AT28" s="6"/>
      <c r="AU28" s="3"/>
      <c r="AV28" s="3"/>
      <c r="AW28" s="3"/>
      <c r="AX28" s="3"/>
      <c r="BN28" s="3"/>
      <c r="BO28" s="3"/>
    </row>
    <row r="29" spans="1:67" s="4" customFormat="1" ht="66" x14ac:dyDescent="0.25">
      <c r="A29" s="80" t="s">
        <v>34</v>
      </c>
      <c r="B29" s="63" t="s">
        <v>5</v>
      </c>
      <c r="C29" s="63" t="s">
        <v>35</v>
      </c>
      <c r="D29" s="54">
        <f>+D30</f>
        <v>-1145100</v>
      </c>
      <c r="E29" s="54">
        <f>+E30</f>
        <v>-1038716.72</v>
      </c>
      <c r="F29" s="54">
        <f t="shared" si="1"/>
        <v>106383.28000000003</v>
      </c>
      <c r="G29" s="125">
        <f t="shared" si="0"/>
        <v>90.709695223124626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122"/>
      <c r="X29" s="3"/>
      <c r="Y29" s="3"/>
      <c r="Z29" s="3"/>
      <c r="AA29" s="3"/>
      <c r="AD29" s="5"/>
      <c r="AE29" s="5"/>
      <c r="AF29" s="5"/>
      <c r="AG29" s="5"/>
      <c r="AH29" s="5"/>
      <c r="AI29" s="5"/>
      <c r="AJ29" s="3"/>
      <c r="AK29" s="3"/>
      <c r="AL29" s="3"/>
      <c r="AM29" s="3"/>
      <c r="AN29" s="144"/>
      <c r="AO29" s="3"/>
      <c r="AP29" s="3"/>
      <c r="AQ29" s="3"/>
      <c r="AR29" s="3"/>
      <c r="AS29" s="6"/>
      <c r="AT29" s="6"/>
      <c r="AU29" s="3"/>
      <c r="AV29" s="3"/>
      <c r="AW29" s="3"/>
      <c r="AX29" s="3"/>
      <c r="BN29" s="3"/>
      <c r="BO29" s="3"/>
    </row>
    <row r="30" spans="1:67" s="4" customFormat="1" ht="90" customHeight="1" x14ac:dyDescent="0.25">
      <c r="A30" s="80" t="s">
        <v>36</v>
      </c>
      <c r="B30" s="63" t="s">
        <v>12</v>
      </c>
      <c r="C30" s="64" t="s">
        <v>329</v>
      </c>
      <c r="D30" s="55">
        <f>-729790-258360-156950</f>
        <v>-1145100</v>
      </c>
      <c r="E30" s="55">
        <v>-1038716.72</v>
      </c>
      <c r="F30" s="54">
        <f t="shared" si="1"/>
        <v>106383.28000000003</v>
      </c>
      <c r="G30" s="125">
        <f t="shared" si="0"/>
        <v>90.709695223124626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122"/>
      <c r="X30" s="3"/>
      <c r="Y30" s="3"/>
      <c r="Z30" s="3"/>
      <c r="AA30" s="3"/>
      <c r="AD30" s="5"/>
      <c r="AE30" s="5"/>
      <c r="AF30" s="5"/>
      <c r="AG30" s="5"/>
      <c r="AH30" s="5"/>
      <c r="AI30" s="5"/>
      <c r="AJ30" s="3"/>
      <c r="AK30" s="3"/>
      <c r="AL30" s="3"/>
      <c r="AM30" s="3"/>
      <c r="AN30" s="144"/>
      <c r="AO30" s="3"/>
      <c r="AP30" s="3"/>
      <c r="AQ30" s="3"/>
      <c r="AR30" s="3"/>
      <c r="AS30" s="6"/>
      <c r="AT30" s="6"/>
      <c r="AU30" s="3"/>
      <c r="AV30" s="3"/>
      <c r="AW30" s="3"/>
      <c r="AX30" s="3"/>
      <c r="BN30" s="3"/>
      <c r="BO30" s="3"/>
    </row>
    <row r="31" spans="1:67" s="23" customFormat="1" ht="13.2" x14ac:dyDescent="0.25">
      <c r="A31" s="78" t="s">
        <v>37</v>
      </c>
      <c r="B31" s="63" t="s">
        <v>5</v>
      </c>
      <c r="C31" s="17" t="s">
        <v>38</v>
      </c>
      <c r="D31" s="54">
        <f>+D43+D32+D41+D39</f>
        <v>233462599.95000002</v>
      </c>
      <c r="E31" s="54">
        <f>+E43+E32+E41+E39</f>
        <v>181878892.64000002</v>
      </c>
      <c r="F31" s="54">
        <f t="shared" si="1"/>
        <v>-51583707.310000002</v>
      </c>
      <c r="G31" s="125">
        <f t="shared" si="0"/>
        <v>77.904937527018234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3"/>
      <c r="V31" s="3"/>
      <c r="W31" s="122"/>
      <c r="X31" s="3"/>
      <c r="Y31" s="3"/>
      <c r="Z31" s="22"/>
      <c r="AA31" s="22"/>
      <c r="AD31" s="21"/>
      <c r="AE31" s="21"/>
      <c r="AF31" s="21"/>
      <c r="AG31" s="21"/>
      <c r="AH31" s="21"/>
      <c r="AI31" s="21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BN31" s="22"/>
      <c r="BO31" s="22"/>
    </row>
    <row r="32" spans="1:67" s="23" customFormat="1" ht="26.4" x14ac:dyDescent="0.25">
      <c r="A32" s="80" t="s">
        <v>39</v>
      </c>
      <c r="B32" s="63" t="s">
        <v>5</v>
      </c>
      <c r="C32" s="28" t="s">
        <v>40</v>
      </c>
      <c r="D32" s="54">
        <f>+D33+D36+D38+D35</f>
        <v>221841436.55000001</v>
      </c>
      <c r="E32" s="54">
        <f>+E33+E36+E38</f>
        <v>174392317.37</v>
      </c>
      <c r="F32" s="54">
        <f t="shared" si="1"/>
        <v>-47449119.180000007</v>
      </c>
      <c r="G32" s="125">
        <f t="shared" si="0"/>
        <v>78.611245979149786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3"/>
      <c r="V32" s="3"/>
      <c r="W32" s="122"/>
      <c r="X32" s="3"/>
      <c r="Y32" s="3"/>
      <c r="Z32" s="22"/>
      <c r="AA32" s="22"/>
      <c r="AD32" s="21"/>
      <c r="AE32" s="21"/>
      <c r="AF32" s="21"/>
      <c r="AG32" s="21"/>
      <c r="AH32" s="21"/>
      <c r="AI32" s="21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BN32" s="22"/>
      <c r="BO32" s="22"/>
    </row>
    <row r="33" spans="1:67" s="23" customFormat="1" ht="26.4" x14ac:dyDescent="0.25">
      <c r="A33" s="80" t="s">
        <v>41</v>
      </c>
      <c r="B33" s="63" t="s">
        <v>5</v>
      </c>
      <c r="C33" s="28" t="s">
        <v>42</v>
      </c>
      <c r="D33" s="54">
        <f>+D34+D35</f>
        <v>134479814.71000001</v>
      </c>
      <c r="E33" s="54">
        <f>+E34+E35</f>
        <v>98476497.950000003</v>
      </c>
      <c r="F33" s="54">
        <f t="shared" si="1"/>
        <v>-36003316.760000005</v>
      </c>
      <c r="G33" s="125">
        <f t="shared" si="0"/>
        <v>73.227716860229449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"/>
      <c r="V33" s="3"/>
      <c r="W33" s="122"/>
      <c r="X33" s="3"/>
      <c r="Y33" s="3"/>
      <c r="Z33" s="22"/>
      <c r="AA33" s="22"/>
      <c r="AD33" s="21"/>
      <c r="AE33" s="21"/>
      <c r="AF33" s="21"/>
      <c r="AG33" s="21"/>
      <c r="AH33" s="21"/>
      <c r="AI33" s="21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BN33" s="22"/>
      <c r="BO33" s="22"/>
    </row>
    <row r="34" spans="1:67" s="23" customFormat="1" ht="26.4" x14ac:dyDescent="0.25">
      <c r="A34" s="80" t="s">
        <v>41</v>
      </c>
      <c r="B34" s="63" t="s">
        <v>12</v>
      </c>
      <c r="C34" s="28" t="s">
        <v>43</v>
      </c>
      <c r="D34" s="54">
        <f>145371809-10891953.29-41</f>
        <v>134479814.71000001</v>
      </c>
      <c r="E34" s="54">
        <v>98534339.040000007</v>
      </c>
      <c r="F34" s="54">
        <f t="shared" si="1"/>
        <v>-35945475.670000002</v>
      </c>
      <c r="G34" s="125">
        <f t="shared" si="0"/>
        <v>73.270727843048505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3"/>
      <c r="V34" s="3"/>
      <c r="W34" s="122"/>
      <c r="X34" s="3"/>
      <c r="Y34" s="3"/>
      <c r="Z34" s="22"/>
      <c r="AA34" s="22"/>
      <c r="AD34" s="21"/>
      <c r="AE34" s="21"/>
      <c r="AF34" s="21"/>
      <c r="AG34" s="21"/>
      <c r="AH34" s="21"/>
      <c r="AI34" s="21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BN34" s="22"/>
      <c r="BO34" s="22"/>
    </row>
    <row r="35" spans="1:67" s="23" customFormat="1" ht="39.6" x14ac:dyDescent="0.25">
      <c r="A35" s="80" t="s">
        <v>548</v>
      </c>
      <c r="B35" s="63" t="s">
        <v>12</v>
      </c>
      <c r="C35" s="28" t="s">
        <v>465</v>
      </c>
      <c r="D35" s="54">
        <v>0</v>
      </c>
      <c r="E35" s="54">
        <v>-57841.09</v>
      </c>
      <c r="F35" s="54">
        <f t="shared" si="1"/>
        <v>-57841.09</v>
      </c>
      <c r="G35" s="125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3"/>
      <c r="V35" s="3"/>
      <c r="W35" s="122"/>
      <c r="X35" s="3"/>
      <c r="Y35" s="3"/>
      <c r="Z35" s="22"/>
      <c r="AA35" s="22"/>
      <c r="AD35" s="21"/>
      <c r="AE35" s="21"/>
      <c r="AF35" s="21"/>
      <c r="AG35" s="21"/>
      <c r="AH35" s="21"/>
      <c r="AI35" s="21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BN35" s="22"/>
      <c r="BO35" s="22"/>
    </row>
    <row r="36" spans="1:67" s="23" customFormat="1" ht="39.6" x14ac:dyDescent="0.25">
      <c r="A36" s="80" t="s">
        <v>44</v>
      </c>
      <c r="B36" s="63" t="s">
        <v>5</v>
      </c>
      <c r="C36" s="28" t="s">
        <v>45</v>
      </c>
      <c r="D36" s="54">
        <f>+D37</f>
        <v>87359013</v>
      </c>
      <c r="E36" s="54">
        <f>+E37</f>
        <v>75913210.579999998</v>
      </c>
      <c r="F36" s="54">
        <f t="shared" si="1"/>
        <v>-11445802.420000002</v>
      </c>
      <c r="G36" s="125">
        <f t="shared" si="0"/>
        <v>86.897971912755011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3"/>
      <c r="V36" s="3"/>
      <c r="W36" s="122"/>
      <c r="X36" s="3"/>
      <c r="Y36" s="3"/>
      <c r="Z36" s="22"/>
      <c r="AA36" s="22"/>
      <c r="AD36" s="21"/>
      <c r="AE36" s="21"/>
      <c r="AF36" s="21"/>
      <c r="AG36" s="21"/>
      <c r="AH36" s="21"/>
      <c r="AI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BN36" s="22"/>
      <c r="BO36" s="22"/>
    </row>
    <row r="37" spans="1:67" s="23" customFormat="1" ht="52.8" x14ac:dyDescent="0.25">
      <c r="A37" s="80" t="s">
        <v>46</v>
      </c>
      <c r="B37" s="63" t="s">
        <v>12</v>
      </c>
      <c r="C37" s="28" t="s">
        <v>47</v>
      </c>
      <c r="D37" s="54">
        <f>59405000+27954013</f>
        <v>87359013</v>
      </c>
      <c r="E37" s="54">
        <v>75913210.579999998</v>
      </c>
      <c r="F37" s="54">
        <f t="shared" si="1"/>
        <v>-11445802.420000002</v>
      </c>
      <c r="G37" s="125">
        <f t="shared" si="0"/>
        <v>86.897971912755011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3"/>
      <c r="V37" s="3"/>
      <c r="W37" s="122"/>
      <c r="X37" s="3"/>
      <c r="Y37" s="3"/>
      <c r="Z37" s="22"/>
      <c r="AA37" s="22"/>
      <c r="AD37" s="21"/>
      <c r="AE37" s="21"/>
      <c r="AF37" s="21"/>
      <c r="AG37" s="21"/>
      <c r="AH37" s="21"/>
      <c r="AI37" s="21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BN37" s="22"/>
      <c r="BO37" s="22"/>
    </row>
    <row r="38" spans="1:67" s="23" customFormat="1" ht="39.6" x14ac:dyDescent="0.25">
      <c r="A38" s="86" t="s">
        <v>466</v>
      </c>
      <c r="B38" s="63" t="s">
        <v>12</v>
      </c>
      <c r="C38" s="87" t="s">
        <v>467</v>
      </c>
      <c r="D38" s="114">
        <v>2608.84</v>
      </c>
      <c r="E38" s="54">
        <v>2608.84</v>
      </c>
      <c r="F38" s="54">
        <f t="shared" si="1"/>
        <v>0</v>
      </c>
      <c r="G38" s="125">
        <f t="shared" si="0"/>
        <v>100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3"/>
      <c r="V38" s="3"/>
      <c r="W38" s="122"/>
      <c r="X38" s="3"/>
      <c r="Y38" s="3"/>
      <c r="Z38" s="22"/>
      <c r="AA38" s="22"/>
      <c r="AD38" s="21"/>
      <c r="AE38" s="21"/>
      <c r="AF38" s="21"/>
      <c r="AG38" s="21"/>
      <c r="AH38" s="21"/>
      <c r="AI38" s="21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BN38" s="22"/>
      <c r="BO38" s="22"/>
    </row>
    <row r="39" spans="1:67" s="23" customFormat="1" ht="26.4" x14ac:dyDescent="0.25">
      <c r="A39" s="81" t="s">
        <v>536</v>
      </c>
      <c r="B39" s="63" t="s">
        <v>5</v>
      </c>
      <c r="C39" s="71" t="s">
        <v>537</v>
      </c>
      <c r="D39" s="114">
        <f>+D40</f>
        <v>-973000</v>
      </c>
      <c r="E39" s="114">
        <f t="shared" ref="E39" si="5">+E40</f>
        <v>-961378.43</v>
      </c>
      <c r="F39" s="54">
        <f t="shared" si="1"/>
        <v>11621.569999999949</v>
      </c>
      <c r="G39" s="125">
        <f t="shared" si="0"/>
        <v>98.805594039054483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3"/>
      <c r="V39" s="3"/>
      <c r="W39" s="122"/>
      <c r="X39" s="3"/>
      <c r="Y39" s="3"/>
      <c r="Z39" s="22"/>
      <c r="AA39" s="22"/>
      <c r="AD39" s="21"/>
      <c r="AE39" s="21"/>
      <c r="AF39" s="21"/>
      <c r="AG39" s="21"/>
      <c r="AH39" s="21"/>
      <c r="AI39" s="21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BN39" s="22"/>
      <c r="BO39" s="22"/>
    </row>
    <row r="40" spans="1:67" s="23" customFormat="1" ht="26.4" x14ac:dyDescent="0.25">
      <c r="A40" s="81" t="s">
        <v>536</v>
      </c>
      <c r="B40" s="63" t="s">
        <v>12</v>
      </c>
      <c r="C40" s="71" t="s">
        <v>538</v>
      </c>
      <c r="D40" s="114">
        <v>-973000</v>
      </c>
      <c r="E40" s="115">
        <v>-961378.43</v>
      </c>
      <c r="F40" s="54">
        <f t="shared" si="1"/>
        <v>11621.569999999949</v>
      </c>
      <c r="G40" s="125">
        <f t="shared" si="0"/>
        <v>98.805594039054483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3"/>
      <c r="V40" s="3"/>
      <c r="W40" s="122"/>
      <c r="X40" s="3"/>
      <c r="Y40" s="3"/>
      <c r="Z40" s="22"/>
      <c r="AA40" s="22"/>
      <c r="AD40" s="21"/>
      <c r="AE40" s="21"/>
      <c r="AF40" s="21"/>
      <c r="AG40" s="21"/>
      <c r="AH40" s="21"/>
      <c r="AI40" s="21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BN40" s="22"/>
      <c r="BO40" s="22"/>
    </row>
    <row r="41" spans="1:67" s="23" customFormat="1" ht="13.2" x14ac:dyDescent="0.25">
      <c r="A41" s="80" t="s">
        <v>330</v>
      </c>
      <c r="B41" s="63" t="s">
        <v>5</v>
      </c>
      <c r="C41" s="28" t="s">
        <v>331</v>
      </c>
      <c r="D41" s="54">
        <f>+D42</f>
        <v>94163.4</v>
      </c>
      <c r="E41" s="54">
        <f t="shared" ref="E41" si="6">+E42</f>
        <v>94163.4</v>
      </c>
      <c r="F41" s="54">
        <f t="shared" si="1"/>
        <v>0</v>
      </c>
      <c r="G41" s="125">
        <f t="shared" si="0"/>
        <v>100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3"/>
      <c r="V41" s="3"/>
      <c r="W41" s="122"/>
      <c r="X41" s="3"/>
      <c r="Y41" s="3"/>
      <c r="Z41" s="22"/>
      <c r="AA41" s="22"/>
      <c r="AD41" s="21"/>
      <c r="AE41" s="21"/>
      <c r="AF41" s="21"/>
      <c r="AG41" s="21"/>
      <c r="AH41" s="21"/>
      <c r="AI41" s="21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BN41" s="22"/>
      <c r="BO41" s="22"/>
    </row>
    <row r="42" spans="1:67" s="23" customFormat="1" ht="13.2" x14ac:dyDescent="0.25">
      <c r="A42" s="80" t="s">
        <v>330</v>
      </c>
      <c r="B42" s="63" t="s">
        <v>12</v>
      </c>
      <c r="C42" s="28" t="s">
        <v>332</v>
      </c>
      <c r="D42" s="54">
        <f>20000+50205.11+23958.29</f>
        <v>94163.4</v>
      </c>
      <c r="E42" s="54">
        <v>94163.4</v>
      </c>
      <c r="F42" s="54">
        <f t="shared" si="1"/>
        <v>0</v>
      </c>
      <c r="G42" s="125">
        <f t="shared" si="0"/>
        <v>100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3"/>
      <c r="V42" s="3"/>
      <c r="W42" s="122"/>
      <c r="X42" s="3"/>
      <c r="Y42" s="3"/>
      <c r="Z42" s="22"/>
      <c r="AA42" s="22"/>
      <c r="AD42" s="21"/>
      <c r="AE42" s="21"/>
      <c r="AF42" s="21"/>
      <c r="AG42" s="21"/>
      <c r="AH42" s="21"/>
      <c r="AI42" s="21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BN42" s="22"/>
      <c r="BO42" s="22"/>
    </row>
    <row r="43" spans="1:67" s="4" customFormat="1" ht="26.4" x14ac:dyDescent="0.25">
      <c r="A43" s="80" t="s">
        <v>48</v>
      </c>
      <c r="B43" s="63" t="s">
        <v>5</v>
      </c>
      <c r="C43" s="65" t="s">
        <v>49</v>
      </c>
      <c r="D43" s="54">
        <f>+D44</f>
        <v>12500000</v>
      </c>
      <c r="E43" s="54">
        <f>+E44</f>
        <v>8353790.2999999998</v>
      </c>
      <c r="F43" s="54">
        <f t="shared" si="1"/>
        <v>-4146209.7</v>
      </c>
      <c r="G43" s="125">
        <f t="shared" si="0"/>
        <v>66.8303224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22"/>
      <c r="X43" s="3"/>
      <c r="Y43" s="3"/>
      <c r="Z43" s="3"/>
      <c r="AA43" s="3"/>
      <c r="AD43" s="5"/>
      <c r="AE43" s="5"/>
      <c r="AF43" s="5"/>
      <c r="AG43" s="5"/>
      <c r="AH43" s="5"/>
      <c r="AI43" s="5"/>
      <c r="AJ43" s="3"/>
      <c r="AK43" s="3"/>
      <c r="AL43" s="3"/>
      <c r="AM43" s="3"/>
      <c r="AN43" s="3"/>
      <c r="AO43" s="3"/>
      <c r="AP43" s="3"/>
      <c r="AQ43" s="3"/>
      <c r="AR43" s="3"/>
      <c r="AS43" s="6"/>
      <c r="AT43" s="6"/>
      <c r="AU43" s="3"/>
      <c r="AV43" s="3"/>
      <c r="AW43" s="3"/>
      <c r="AX43" s="3"/>
      <c r="BN43" s="3"/>
      <c r="BO43" s="3"/>
    </row>
    <row r="44" spans="1:67" s="4" customFormat="1" ht="26.4" x14ac:dyDescent="0.25">
      <c r="A44" s="80" t="s">
        <v>50</v>
      </c>
      <c r="B44" s="63" t="s">
        <v>12</v>
      </c>
      <c r="C44" s="65" t="s">
        <v>51</v>
      </c>
      <c r="D44" s="54">
        <f>23050000-10550000</f>
        <v>12500000</v>
      </c>
      <c r="E44" s="54">
        <v>8353790.2999999998</v>
      </c>
      <c r="F44" s="54">
        <f t="shared" si="1"/>
        <v>-4146209.7</v>
      </c>
      <c r="G44" s="125">
        <f t="shared" si="0"/>
        <v>66.8303224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22"/>
      <c r="X44" s="3"/>
      <c r="Y44" s="3"/>
      <c r="Z44" s="3"/>
      <c r="AA44" s="3"/>
      <c r="AD44" s="5"/>
      <c r="AE44" s="5"/>
      <c r="AF44" s="5"/>
      <c r="AG44" s="5"/>
      <c r="AH44" s="5"/>
      <c r="AI44" s="5"/>
      <c r="AJ44" s="3"/>
      <c r="AK44" s="3"/>
      <c r="AL44" s="3"/>
      <c r="AM44" s="3"/>
      <c r="AN44" s="124"/>
      <c r="AO44" s="3"/>
      <c r="AP44" s="3"/>
      <c r="AQ44" s="3"/>
      <c r="AR44" s="3"/>
      <c r="AS44" s="6"/>
      <c r="AT44" s="6"/>
      <c r="AU44" s="3"/>
      <c r="AV44" s="3"/>
      <c r="AW44" s="3"/>
      <c r="AX44" s="3"/>
      <c r="BN44" s="3"/>
      <c r="BO44" s="3"/>
    </row>
    <row r="45" spans="1:67" s="23" customFormat="1" ht="16.2" customHeight="1" x14ac:dyDescent="0.25">
      <c r="A45" s="78" t="s">
        <v>52</v>
      </c>
      <c r="B45" s="63" t="s">
        <v>5</v>
      </c>
      <c r="C45" s="17" t="s">
        <v>53</v>
      </c>
      <c r="D45" s="54">
        <f>+D46+D48</f>
        <v>74779784.180000007</v>
      </c>
      <c r="E45" s="54">
        <f t="shared" ref="E45" si="7">+E46+E48</f>
        <v>55527437.480000004</v>
      </c>
      <c r="F45" s="54">
        <f t="shared" si="1"/>
        <v>-19252346.700000003</v>
      </c>
      <c r="G45" s="125">
        <f t="shared" si="0"/>
        <v>74.254610505884457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3"/>
      <c r="V45" s="3"/>
      <c r="W45" s="122"/>
      <c r="X45" s="3"/>
      <c r="Y45" s="3"/>
      <c r="Z45" s="22"/>
      <c r="AA45" s="22"/>
      <c r="AD45" s="21"/>
      <c r="AE45" s="21"/>
      <c r="AF45" s="21"/>
      <c r="AG45" s="21"/>
      <c r="AH45" s="21"/>
      <c r="AI45" s="21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BN45" s="22"/>
      <c r="BO45" s="22"/>
    </row>
    <row r="46" spans="1:67" s="4" customFormat="1" x14ac:dyDescent="0.25">
      <c r="A46" s="80" t="s">
        <v>54</v>
      </c>
      <c r="B46" s="63" t="s">
        <v>5</v>
      </c>
      <c r="C46" s="17" t="s">
        <v>55</v>
      </c>
      <c r="D46" s="54">
        <f>+D47</f>
        <v>15134000</v>
      </c>
      <c r="E46" s="54">
        <f>+E47</f>
        <v>16576296.300000001</v>
      </c>
      <c r="F46" s="54">
        <f t="shared" si="1"/>
        <v>1442296.3000000007</v>
      </c>
      <c r="G46" s="125">
        <f t="shared" si="0"/>
        <v>109.53017245936303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22"/>
      <c r="X46" s="3"/>
      <c r="Y46" s="3"/>
      <c r="Z46" s="3"/>
      <c r="AA46" s="3"/>
      <c r="AD46" s="5"/>
      <c r="AE46" s="5"/>
      <c r="AF46" s="5"/>
      <c r="AG46" s="5"/>
      <c r="AH46" s="5"/>
      <c r="AI46" s="5"/>
      <c r="AJ46" s="3"/>
      <c r="AK46" s="3"/>
      <c r="AL46" s="3"/>
      <c r="AM46" s="3"/>
      <c r="AN46" s="3"/>
      <c r="AO46" s="3"/>
      <c r="AP46" s="3"/>
      <c r="AQ46" s="3"/>
      <c r="AR46" s="3"/>
      <c r="AS46" s="6"/>
      <c r="AT46" s="6"/>
      <c r="AU46" s="3"/>
      <c r="AV46" s="3"/>
      <c r="AW46" s="3"/>
      <c r="AX46" s="3"/>
      <c r="BN46" s="3"/>
      <c r="BO46" s="3"/>
    </row>
    <row r="47" spans="1:67" s="4" customFormat="1" ht="39.6" x14ac:dyDescent="0.25">
      <c r="A47" s="80" t="s">
        <v>56</v>
      </c>
      <c r="B47" s="63" t="s">
        <v>12</v>
      </c>
      <c r="C47" s="17" t="s">
        <v>57</v>
      </c>
      <c r="D47" s="54">
        <f>14250000+884000</f>
        <v>15134000</v>
      </c>
      <c r="E47" s="54">
        <v>16576296.300000001</v>
      </c>
      <c r="F47" s="54">
        <f t="shared" si="1"/>
        <v>1442296.3000000007</v>
      </c>
      <c r="G47" s="125">
        <f t="shared" si="0"/>
        <v>109.53017245936303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122"/>
      <c r="X47" s="3"/>
      <c r="Y47" s="3"/>
      <c r="Z47" s="3"/>
      <c r="AA47" s="3"/>
      <c r="AD47" s="5"/>
      <c r="AE47" s="5"/>
      <c r="AF47" s="5"/>
      <c r="AG47" s="5"/>
      <c r="AH47" s="5"/>
      <c r="AI47" s="5"/>
      <c r="AJ47" s="3"/>
      <c r="AK47" s="3"/>
      <c r="AL47" s="3"/>
      <c r="AM47" s="3"/>
      <c r="AN47" s="124"/>
      <c r="AO47" s="3"/>
      <c r="AP47" s="3"/>
      <c r="AQ47" s="3"/>
      <c r="AR47" s="3"/>
      <c r="AS47" s="6"/>
      <c r="AT47" s="6"/>
      <c r="AU47" s="3"/>
      <c r="AV47" s="3"/>
      <c r="AW47" s="3"/>
      <c r="AX47" s="3"/>
      <c r="BN47" s="3"/>
      <c r="BO47" s="3"/>
    </row>
    <row r="48" spans="1:67" s="4" customFormat="1" x14ac:dyDescent="0.25">
      <c r="A48" s="80" t="s">
        <v>58</v>
      </c>
      <c r="B48" s="63" t="s">
        <v>5</v>
      </c>
      <c r="C48" s="63" t="s">
        <v>59</v>
      </c>
      <c r="D48" s="54">
        <f>+D49+D51</f>
        <v>59645784.18</v>
      </c>
      <c r="E48" s="54">
        <f>+E49+E51</f>
        <v>38951141.18</v>
      </c>
      <c r="F48" s="54">
        <f t="shared" si="1"/>
        <v>-20694643</v>
      </c>
      <c r="G48" s="125">
        <f t="shared" si="0"/>
        <v>65.304097708653856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122"/>
      <c r="X48" s="3"/>
      <c r="Y48" s="3"/>
      <c r="Z48" s="3"/>
      <c r="AA48" s="3"/>
      <c r="AD48" s="5"/>
      <c r="AE48" s="5"/>
      <c r="AF48" s="5"/>
      <c r="AG48" s="5"/>
      <c r="AH48" s="5"/>
      <c r="AI48" s="5"/>
      <c r="AJ48" s="3"/>
      <c r="AK48" s="3"/>
      <c r="AL48" s="3"/>
      <c r="AM48" s="3"/>
      <c r="AN48" s="3"/>
      <c r="AO48" s="3"/>
      <c r="AP48" s="3"/>
      <c r="AQ48" s="3"/>
      <c r="AR48" s="3"/>
      <c r="AS48" s="6"/>
      <c r="AT48" s="6"/>
      <c r="AU48" s="3"/>
      <c r="AV48" s="3"/>
      <c r="AW48" s="3"/>
      <c r="AX48" s="3"/>
      <c r="BN48" s="3"/>
      <c r="BO48" s="3"/>
    </row>
    <row r="49" spans="1:67" s="4" customFormat="1" x14ac:dyDescent="0.25">
      <c r="A49" s="80" t="s">
        <v>60</v>
      </c>
      <c r="B49" s="63" t="s">
        <v>5</v>
      </c>
      <c r="C49" s="63" t="s">
        <v>61</v>
      </c>
      <c r="D49" s="54">
        <f>+D50</f>
        <v>43963784.18</v>
      </c>
      <c r="E49" s="54">
        <f>+E50</f>
        <v>24551529.41</v>
      </c>
      <c r="F49" s="54">
        <f t="shared" si="1"/>
        <v>-19412254.77</v>
      </c>
      <c r="G49" s="125">
        <f t="shared" si="0"/>
        <v>55.844895674765368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22"/>
      <c r="X49" s="3"/>
      <c r="Y49" s="3"/>
      <c r="Z49" s="3"/>
      <c r="AA49" s="3"/>
      <c r="AD49" s="5"/>
      <c r="AE49" s="5"/>
      <c r="AF49" s="5"/>
      <c r="AG49" s="5"/>
      <c r="AH49" s="5"/>
      <c r="AI49" s="5"/>
      <c r="AJ49" s="3"/>
      <c r="AK49" s="3"/>
      <c r="AL49" s="3"/>
      <c r="AM49" s="3"/>
      <c r="AN49" s="3"/>
      <c r="AO49" s="3"/>
      <c r="AP49" s="3"/>
      <c r="AQ49" s="3"/>
      <c r="AR49" s="3"/>
      <c r="AS49" s="6"/>
      <c r="AT49" s="6"/>
      <c r="AU49" s="3"/>
      <c r="AV49" s="3"/>
      <c r="AW49" s="3"/>
      <c r="AX49" s="3"/>
      <c r="BN49" s="3"/>
      <c r="BO49" s="3"/>
    </row>
    <row r="50" spans="1:67" s="4" customFormat="1" ht="26.4" x14ac:dyDescent="0.25">
      <c r="A50" s="80" t="s">
        <v>62</v>
      </c>
      <c r="B50" s="63" t="s">
        <v>12</v>
      </c>
      <c r="C50" s="63" t="s">
        <v>63</v>
      </c>
      <c r="D50" s="54">
        <f>55090000-11126215.82</f>
        <v>43963784.18</v>
      </c>
      <c r="E50" s="54">
        <v>24551529.41</v>
      </c>
      <c r="F50" s="54">
        <f t="shared" si="1"/>
        <v>-19412254.77</v>
      </c>
      <c r="G50" s="125">
        <f t="shared" si="0"/>
        <v>55.844895674765368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22"/>
      <c r="X50" s="3"/>
      <c r="Y50" s="3"/>
      <c r="Z50" s="3"/>
      <c r="AA50" s="3"/>
      <c r="AD50" s="5"/>
      <c r="AE50" s="5"/>
      <c r="AF50" s="5"/>
      <c r="AG50" s="5"/>
      <c r="AH50" s="5"/>
      <c r="AI50" s="5"/>
      <c r="AJ50" s="3"/>
      <c r="AK50" s="3"/>
      <c r="AL50" s="3"/>
      <c r="AM50" s="3"/>
      <c r="AN50" s="3"/>
      <c r="AO50" s="3"/>
      <c r="AP50" s="3"/>
      <c r="AQ50" s="3"/>
      <c r="AR50" s="3"/>
      <c r="AS50" s="6"/>
      <c r="AT50" s="6"/>
      <c r="AU50" s="3"/>
      <c r="AV50" s="3"/>
      <c r="AW50" s="3"/>
      <c r="AX50" s="3"/>
      <c r="BN50" s="3"/>
      <c r="BO50" s="3"/>
    </row>
    <row r="51" spans="1:67" s="4" customFormat="1" x14ac:dyDescent="0.25">
      <c r="A51" s="80" t="s">
        <v>64</v>
      </c>
      <c r="B51" s="63" t="s">
        <v>5</v>
      </c>
      <c r="C51" s="63" t="s">
        <v>65</v>
      </c>
      <c r="D51" s="54">
        <f>+D52</f>
        <v>15682000</v>
      </c>
      <c r="E51" s="54">
        <f>+E52</f>
        <v>14399611.77</v>
      </c>
      <c r="F51" s="54">
        <f t="shared" si="1"/>
        <v>-1282388.2300000004</v>
      </c>
      <c r="G51" s="125">
        <f t="shared" si="0"/>
        <v>91.822546677719671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22"/>
      <c r="X51" s="3"/>
      <c r="Y51" s="3"/>
      <c r="Z51" s="3"/>
      <c r="AA51" s="3"/>
      <c r="AD51" s="5"/>
      <c r="AE51" s="5"/>
      <c r="AF51" s="5"/>
      <c r="AG51" s="5"/>
      <c r="AH51" s="5"/>
      <c r="AI51" s="5"/>
      <c r="AJ51" s="3"/>
      <c r="AK51" s="3"/>
      <c r="AL51" s="3"/>
      <c r="AM51" s="3"/>
      <c r="AN51" s="3"/>
      <c r="AO51" s="3"/>
      <c r="AP51" s="3"/>
      <c r="AQ51" s="3"/>
      <c r="AR51" s="3"/>
      <c r="AS51" s="6"/>
      <c r="AT51" s="6"/>
      <c r="AU51" s="3"/>
      <c r="AV51" s="3"/>
      <c r="AW51" s="3"/>
      <c r="AX51" s="3"/>
      <c r="BN51" s="3"/>
      <c r="BO51" s="3"/>
    </row>
    <row r="52" spans="1:67" s="4" customFormat="1" ht="26.4" x14ac:dyDescent="0.25">
      <c r="A52" s="80" t="s">
        <v>66</v>
      </c>
      <c r="B52" s="63" t="s">
        <v>12</v>
      </c>
      <c r="C52" s="63" t="s">
        <v>67</v>
      </c>
      <c r="D52" s="54">
        <f>12110000+3572000</f>
        <v>15682000</v>
      </c>
      <c r="E52" s="54">
        <v>14399611.77</v>
      </c>
      <c r="F52" s="54">
        <f t="shared" si="1"/>
        <v>-1282388.2300000004</v>
      </c>
      <c r="G52" s="125">
        <f t="shared" si="0"/>
        <v>91.822546677719671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22"/>
      <c r="X52" s="3"/>
      <c r="Y52" s="3"/>
      <c r="Z52" s="3"/>
      <c r="AA52" s="3"/>
      <c r="AD52" s="5"/>
      <c r="AE52" s="5"/>
      <c r="AF52" s="5"/>
      <c r="AG52" s="5"/>
      <c r="AH52" s="5"/>
      <c r="AI52" s="5"/>
      <c r="AJ52" s="3"/>
      <c r="AK52" s="3"/>
      <c r="AL52" s="3"/>
      <c r="AM52" s="3"/>
      <c r="AN52" s="124"/>
      <c r="AO52" s="3"/>
      <c r="AP52" s="3"/>
      <c r="AQ52" s="3"/>
      <c r="AR52" s="3"/>
      <c r="AS52" s="6"/>
      <c r="AT52" s="6"/>
      <c r="AU52" s="3"/>
      <c r="AV52" s="3"/>
      <c r="AW52" s="3"/>
      <c r="AX52" s="3"/>
      <c r="BN52" s="3"/>
      <c r="BO52" s="3"/>
    </row>
    <row r="53" spans="1:67" s="30" customFormat="1" ht="13.2" x14ac:dyDescent="0.25">
      <c r="A53" s="78" t="s">
        <v>68</v>
      </c>
      <c r="B53" s="16" t="s">
        <v>5</v>
      </c>
      <c r="C53" s="17" t="s">
        <v>69</v>
      </c>
      <c r="D53" s="54">
        <f>+D54+D56</f>
        <v>21695000</v>
      </c>
      <c r="E53" s="54">
        <f>+E54+E56</f>
        <v>20799801.93</v>
      </c>
      <c r="F53" s="54">
        <f t="shared" si="1"/>
        <v>-895198.0700000003</v>
      </c>
      <c r="G53" s="125">
        <f t="shared" si="0"/>
        <v>95.873712514404247</v>
      </c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122"/>
      <c r="V53" s="122"/>
      <c r="W53" s="122"/>
      <c r="X53" s="122"/>
      <c r="Y53" s="122"/>
      <c r="Z53" s="29"/>
      <c r="AA53" s="29"/>
      <c r="AD53" s="31"/>
      <c r="AE53" s="31"/>
      <c r="AF53" s="31"/>
      <c r="AG53" s="31"/>
      <c r="AH53" s="31"/>
      <c r="AI53" s="31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BN53" s="29"/>
      <c r="BO53" s="29"/>
    </row>
    <row r="54" spans="1:67" s="30" customFormat="1" ht="26.4" x14ac:dyDescent="0.25">
      <c r="A54" s="80" t="s">
        <v>70</v>
      </c>
      <c r="B54" s="63" t="s">
        <v>5</v>
      </c>
      <c r="C54" s="17" t="s">
        <v>71</v>
      </c>
      <c r="D54" s="54">
        <f>+D55</f>
        <v>21600000</v>
      </c>
      <c r="E54" s="54">
        <f>+E55</f>
        <v>20734801.93</v>
      </c>
      <c r="F54" s="54">
        <f t="shared" si="1"/>
        <v>-865198.0700000003</v>
      </c>
      <c r="G54" s="125">
        <f t="shared" si="0"/>
        <v>95.994453379629633</v>
      </c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122"/>
      <c r="V54" s="122"/>
      <c r="W54" s="122"/>
      <c r="X54" s="122"/>
      <c r="Y54" s="122"/>
      <c r="Z54" s="29"/>
      <c r="AA54" s="29"/>
      <c r="AD54" s="31"/>
      <c r="AE54" s="31"/>
      <c r="AF54" s="31"/>
      <c r="AG54" s="31"/>
      <c r="AH54" s="31"/>
      <c r="AI54" s="31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BN54" s="29"/>
      <c r="BO54" s="29"/>
    </row>
    <row r="55" spans="1:67" s="4" customFormat="1" ht="44.4" customHeight="1" x14ac:dyDescent="0.25">
      <c r="A55" s="80" t="s">
        <v>72</v>
      </c>
      <c r="B55" s="63" t="s">
        <v>12</v>
      </c>
      <c r="C55" s="17" t="s">
        <v>73</v>
      </c>
      <c r="D55" s="54">
        <v>21600000</v>
      </c>
      <c r="E55" s="54">
        <v>20734801.93</v>
      </c>
      <c r="F55" s="54">
        <f t="shared" si="1"/>
        <v>-865198.0700000003</v>
      </c>
      <c r="G55" s="125">
        <f t="shared" si="0"/>
        <v>95.994453379629633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122"/>
      <c r="X55" s="3"/>
      <c r="Y55" s="3"/>
      <c r="Z55" s="3"/>
      <c r="AA55" s="3"/>
      <c r="AD55" s="5"/>
      <c r="AE55" s="5"/>
      <c r="AF55" s="5"/>
      <c r="AG55" s="5"/>
      <c r="AH55" s="5"/>
      <c r="AI55" s="5"/>
      <c r="AJ55" s="3"/>
      <c r="AK55" s="3"/>
      <c r="AL55" s="3"/>
      <c r="AM55" s="3"/>
      <c r="AN55" s="124"/>
      <c r="AO55" s="3"/>
      <c r="AP55" s="3"/>
      <c r="AQ55" s="3"/>
      <c r="AR55" s="3"/>
      <c r="AS55" s="6"/>
      <c r="AT55" s="6"/>
      <c r="AU55" s="3"/>
      <c r="AV55" s="3"/>
      <c r="AW55" s="3"/>
      <c r="AX55" s="3"/>
      <c r="BN55" s="3"/>
      <c r="BO55" s="3"/>
    </row>
    <row r="56" spans="1:67" s="4" customFormat="1" ht="31.8" customHeight="1" x14ac:dyDescent="0.25">
      <c r="A56" s="80" t="s">
        <v>74</v>
      </c>
      <c r="B56" s="16" t="s">
        <v>5</v>
      </c>
      <c r="C56" s="17" t="s">
        <v>75</v>
      </c>
      <c r="D56" s="54">
        <f>+D57</f>
        <v>95000</v>
      </c>
      <c r="E56" s="54">
        <f t="shared" ref="E56" si="8">+E57</f>
        <v>65000</v>
      </c>
      <c r="F56" s="54">
        <f t="shared" si="1"/>
        <v>-30000</v>
      </c>
      <c r="G56" s="125">
        <f t="shared" si="0"/>
        <v>68.421052631578945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22"/>
      <c r="X56" s="3"/>
      <c r="Y56" s="3"/>
      <c r="Z56" s="3"/>
      <c r="AA56" s="3"/>
      <c r="AD56" s="5"/>
      <c r="AE56" s="5"/>
      <c r="AF56" s="5"/>
      <c r="AG56" s="5"/>
      <c r="AH56" s="5"/>
      <c r="AI56" s="5"/>
      <c r="AJ56" s="3"/>
      <c r="AK56" s="3"/>
      <c r="AL56" s="3"/>
      <c r="AM56" s="3"/>
      <c r="AN56" s="3"/>
      <c r="AO56" s="3"/>
      <c r="AP56" s="3"/>
      <c r="AQ56" s="3"/>
      <c r="AR56" s="3"/>
      <c r="AS56" s="6"/>
      <c r="AT56" s="6"/>
      <c r="AU56" s="3"/>
      <c r="AV56" s="3"/>
      <c r="AW56" s="3"/>
      <c r="AX56" s="3"/>
      <c r="BN56" s="3"/>
      <c r="BO56" s="3"/>
    </row>
    <row r="57" spans="1:67" s="4" customFormat="1" ht="31.2" customHeight="1" x14ac:dyDescent="0.25">
      <c r="A57" s="80" t="s">
        <v>76</v>
      </c>
      <c r="B57" s="16" t="s">
        <v>5</v>
      </c>
      <c r="C57" s="17" t="s">
        <v>78</v>
      </c>
      <c r="D57" s="54">
        <f t="shared" ref="D57:E57" si="9">+D58</f>
        <v>95000</v>
      </c>
      <c r="E57" s="54">
        <f t="shared" si="9"/>
        <v>65000</v>
      </c>
      <c r="F57" s="54">
        <f t="shared" si="1"/>
        <v>-30000</v>
      </c>
      <c r="G57" s="125">
        <f t="shared" si="0"/>
        <v>68.421052631578945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22"/>
      <c r="X57" s="3"/>
      <c r="Y57" s="3"/>
      <c r="Z57" s="3"/>
      <c r="AA57" s="3"/>
      <c r="AD57" s="5"/>
      <c r="AE57" s="5"/>
      <c r="AF57" s="5"/>
      <c r="AG57" s="5"/>
      <c r="AH57" s="5"/>
      <c r="AI57" s="5"/>
      <c r="AJ57" s="3"/>
      <c r="AK57" s="3"/>
      <c r="AL57" s="3"/>
      <c r="AM57" s="3"/>
      <c r="AN57" s="3"/>
      <c r="AO57" s="3"/>
      <c r="AP57" s="3"/>
      <c r="AQ57" s="3"/>
      <c r="AR57" s="3"/>
      <c r="AS57" s="6"/>
      <c r="AT57" s="6"/>
      <c r="AU57" s="3"/>
      <c r="AV57" s="3"/>
      <c r="AW57" s="3"/>
      <c r="AX57" s="3"/>
      <c r="BN57" s="3"/>
      <c r="BO57" s="3"/>
    </row>
    <row r="58" spans="1:67" s="4" customFormat="1" ht="27.6" customHeight="1" x14ac:dyDescent="0.25">
      <c r="A58" s="80" t="s">
        <v>76</v>
      </c>
      <c r="B58" s="16" t="s">
        <v>77</v>
      </c>
      <c r="C58" s="17" t="s">
        <v>310</v>
      </c>
      <c r="D58" s="54">
        <f>15000+30000+50000</f>
        <v>95000</v>
      </c>
      <c r="E58" s="54">
        <v>65000</v>
      </c>
      <c r="F58" s="54">
        <f t="shared" si="1"/>
        <v>-30000</v>
      </c>
      <c r="G58" s="125">
        <f t="shared" si="0"/>
        <v>68.421052631578945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22"/>
      <c r="X58" s="3"/>
      <c r="Y58" s="3"/>
      <c r="Z58" s="3"/>
      <c r="AA58" s="3"/>
      <c r="AD58" s="5"/>
      <c r="AE58" s="5"/>
      <c r="AF58" s="5"/>
      <c r="AG58" s="5"/>
      <c r="AH58" s="5"/>
      <c r="AI58" s="5"/>
      <c r="AJ58" s="3"/>
      <c r="AK58" s="3"/>
      <c r="AL58" s="3"/>
      <c r="AM58" s="3"/>
      <c r="AN58" s="3"/>
      <c r="AO58" s="3"/>
      <c r="AP58" s="3"/>
      <c r="AQ58" s="3"/>
      <c r="AR58" s="3"/>
      <c r="AS58" s="6"/>
      <c r="AT58" s="6"/>
      <c r="AU58" s="3"/>
      <c r="AV58" s="3"/>
      <c r="AW58" s="3"/>
      <c r="AX58" s="3"/>
      <c r="BN58" s="3"/>
      <c r="BO58" s="3"/>
    </row>
    <row r="59" spans="1:67" s="4" customFormat="1" ht="28.2" customHeight="1" x14ac:dyDescent="0.25">
      <c r="A59" s="80" t="s">
        <v>561</v>
      </c>
      <c r="B59" s="16" t="s">
        <v>5</v>
      </c>
      <c r="C59" s="17" t="s">
        <v>562</v>
      </c>
      <c r="D59" s="54">
        <f t="shared" ref="D59:E61" si="10">D60</f>
        <v>0</v>
      </c>
      <c r="E59" s="54">
        <f t="shared" si="10"/>
        <v>1.65</v>
      </c>
      <c r="F59" s="54">
        <f t="shared" si="1"/>
        <v>1.65</v>
      </c>
      <c r="G59" s="12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22"/>
      <c r="X59" s="3"/>
      <c r="Y59" s="3"/>
      <c r="Z59" s="3"/>
      <c r="AA59" s="3"/>
      <c r="AD59" s="5"/>
      <c r="AE59" s="5"/>
      <c r="AF59" s="5"/>
      <c r="AG59" s="5"/>
      <c r="AH59" s="5"/>
      <c r="AI59" s="5"/>
      <c r="AJ59" s="3"/>
      <c r="AK59" s="3"/>
      <c r="AL59" s="3"/>
      <c r="AM59" s="3"/>
      <c r="AN59" s="3"/>
      <c r="AO59" s="3"/>
      <c r="AP59" s="3"/>
      <c r="AQ59" s="3"/>
      <c r="AR59" s="3"/>
      <c r="AS59" s="6"/>
      <c r="AT59" s="6"/>
      <c r="AU59" s="3"/>
      <c r="AV59" s="3"/>
      <c r="AW59" s="3"/>
      <c r="AX59" s="3"/>
      <c r="BN59" s="3"/>
      <c r="BO59" s="3"/>
    </row>
    <row r="60" spans="1:67" s="4" customFormat="1" ht="28.5" customHeight="1" x14ac:dyDescent="0.25">
      <c r="A60" s="80" t="s">
        <v>563</v>
      </c>
      <c r="B60" s="16" t="s">
        <v>5</v>
      </c>
      <c r="C60" s="17" t="s">
        <v>564</v>
      </c>
      <c r="D60" s="54">
        <f t="shared" si="10"/>
        <v>0</v>
      </c>
      <c r="E60" s="54">
        <f t="shared" si="10"/>
        <v>1.65</v>
      </c>
      <c r="F60" s="54">
        <f t="shared" si="1"/>
        <v>1.65</v>
      </c>
      <c r="G60" s="125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22"/>
      <c r="X60" s="3"/>
      <c r="Y60" s="3"/>
      <c r="Z60" s="3"/>
      <c r="AA60" s="3"/>
      <c r="AD60" s="5"/>
      <c r="AE60" s="5"/>
      <c r="AF60" s="5"/>
      <c r="AG60" s="5"/>
      <c r="AH60" s="5"/>
      <c r="AI60" s="5"/>
      <c r="AJ60" s="3"/>
      <c r="AK60" s="3"/>
      <c r="AL60" s="3"/>
      <c r="AM60" s="3"/>
      <c r="AN60" s="3"/>
      <c r="AO60" s="3"/>
      <c r="AP60" s="3"/>
      <c r="AQ60" s="3"/>
      <c r="AR60" s="3"/>
      <c r="AS60" s="6"/>
      <c r="AT60" s="6"/>
      <c r="AU60" s="3"/>
      <c r="AV60" s="3"/>
      <c r="AW60" s="3"/>
      <c r="AX60" s="3"/>
      <c r="BN60" s="3"/>
      <c r="BO60" s="3"/>
    </row>
    <row r="61" spans="1:67" s="4" customFormat="1" ht="41.4" customHeight="1" x14ac:dyDescent="0.25">
      <c r="A61" s="80" t="s">
        <v>569</v>
      </c>
      <c r="B61" s="16" t="s">
        <v>5</v>
      </c>
      <c r="C61" s="17" t="s">
        <v>565</v>
      </c>
      <c r="D61" s="54">
        <f t="shared" si="10"/>
        <v>0</v>
      </c>
      <c r="E61" s="54">
        <f t="shared" si="10"/>
        <v>1.65</v>
      </c>
      <c r="F61" s="54">
        <f t="shared" si="1"/>
        <v>1.65</v>
      </c>
      <c r="G61" s="125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22"/>
      <c r="X61" s="3"/>
      <c r="Y61" s="3"/>
      <c r="Z61" s="3"/>
      <c r="AA61" s="3"/>
      <c r="AD61" s="5"/>
      <c r="AE61" s="5"/>
      <c r="AF61" s="5"/>
      <c r="AG61" s="5"/>
      <c r="AH61" s="5"/>
      <c r="AI61" s="5"/>
      <c r="AJ61" s="3"/>
      <c r="AK61" s="3"/>
      <c r="AL61" s="3"/>
      <c r="AM61" s="3"/>
      <c r="AN61" s="3"/>
      <c r="AO61" s="3"/>
      <c r="AP61" s="3"/>
      <c r="AQ61" s="3"/>
      <c r="AR61" s="3"/>
      <c r="AS61" s="6"/>
      <c r="AT61" s="6"/>
      <c r="AU61" s="3"/>
      <c r="AV61" s="3"/>
      <c r="AW61" s="3"/>
      <c r="AX61" s="3"/>
      <c r="BN61" s="3"/>
      <c r="BO61" s="3"/>
    </row>
    <row r="62" spans="1:67" s="4" customFormat="1" ht="52.8" x14ac:dyDescent="0.25">
      <c r="A62" s="80" t="s">
        <v>570</v>
      </c>
      <c r="B62" s="16" t="s">
        <v>12</v>
      </c>
      <c r="C62" s="17" t="s">
        <v>566</v>
      </c>
      <c r="D62" s="54">
        <v>0</v>
      </c>
      <c r="E62" s="54">
        <v>1.65</v>
      </c>
      <c r="F62" s="54">
        <f t="shared" si="1"/>
        <v>1.65</v>
      </c>
      <c r="G62" s="125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22"/>
      <c r="X62" s="3"/>
      <c r="Y62" s="3"/>
      <c r="Z62" s="3"/>
      <c r="AA62" s="3"/>
      <c r="AD62" s="5"/>
      <c r="AE62" s="5"/>
      <c r="AF62" s="5"/>
      <c r="AG62" s="5"/>
      <c r="AH62" s="5"/>
      <c r="AI62" s="5"/>
      <c r="AJ62" s="3"/>
      <c r="AK62" s="3"/>
      <c r="AL62" s="3"/>
      <c r="AM62" s="3"/>
      <c r="AN62" s="3"/>
      <c r="AO62" s="3"/>
      <c r="AP62" s="3"/>
      <c r="AQ62" s="3"/>
      <c r="AR62" s="3"/>
      <c r="AS62" s="6"/>
      <c r="AT62" s="6"/>
      <c r="AU62" s="3"/>
      <c r="AV62" s="3"/>
      <c r="AW62" s="3"/>
      <c r="AX62" s="3"/>
      <c r="BN62" s="3"/>
      <c r="BO62" s="3"/>
    </row>
    <row r="63" spans="1:67" s="23" customFormat="1" ht="39.6" x14ac:dyDescent="0.25">
      <c r="A63" s="78" t="s">
        <v>80</v>
      </c>
      <c r="B63" s="16" t="s">
        <v>5</v>
      </c>
      <c r="C63" s="17" t="s">
        <v>81</v>
      </c>
      <c r="D63" s="54">
        <f>+D64+D82+D85+D77+D75</f>
        <v>102218407</v>
      </c>
      <c r="E63" s="54">
        <f>+E64+E82+E85+E77+E75</f>
        <v>101005366.08000001</v>
      </c>
      <c r="F63" s="54">
        <f t="shared" si="1"/>
        <v>-1213040.9199999869</v>
      </c>
      <c r="G63" s="125">
        <f t="shared" si="0"/>
        <v>98.813285243234134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3"/>
      <c r="V63" s="3"/>
      <c r="W63" s="122"/>
      <c r="X63" s="3"/>
      <c r="Y63" s="3"/>
      <c r="Z63" s="22"/>
      <c r="AA63" s="22"/>
      <c r="AD63" s="21"/>
      <c r="AE63" s="21"/>
      <c r="AF63" s="21"/>
      <c r="AG63" s="21"/>
      <c r="AH63" s="21"/>
      <c r="AI63" s="21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BN63" s="22"/>
      <c r="BO63" s="22"/>
    </row>
    <row r="64" spans="1:67" s="4" customFormat="1" ht="79.2" x14ac:dyDescent="0.25">
      <c r="A64" s="92" t="s">
        <v>82</v>
      </c>
      <c r="B64" s="66" t="s">
        <v>5</v>
      </c>
      <c r="C64" s="67" t="s">
        <v>83</v>
      </c>
      <c r="D64" s="68">
        <f>D65+D68+D71</f>
        <v>80967941</v>
      </c>
      <c r="E64" s="68">
        <f>E65+E68+E71</f>
        <v>81316854.609999999</v>
      </c>
      <c r="F64" s="54">
        <f t="shared" si="1"/>
        <v>348913.6099999994</v>
      </c>
      <c r="G64" s="125">
        <f t="shared" si="0"/>
        <v>100.4309281002959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22"/>
      <c r="X64" s="3"/>
      <c r="Y64" s="3"/>
      <c r="Z64" s="3"/>
      <c r="AA64" s="3"/>
      <c r="AD64" s="5"/>
      <c r="AE64" s="5"/>
      <c r="AF64" s="5"/>
      <c r="AG64" s="5"/>
      <c r="AH64" s="5"/>
      <c r="AI64" s="5"/>
      <c r="AJ64" s="3"/>
      <c r="AK64" s="3"/>
      <c r="AL64" s="3"/>
      <c r="AM64" s="3"/>
      <c r="AN64" s="3"/>
      <c r="AO64" s="3"/>
      <c r="AP64" s="3"/>
      <c r="AQ64" s="3"/>
      <c r="AR64" s="3"/>
      <c r="AS64" s="6"/>
      <c r="AT64" s="6"/>
      <c r="AU64" s="3"/>
      <c r="AV64" s="3"/>
      <c r="AW64" s="3"/>
      <c r="AX64" s="3"/>
      <c r="BN64" s="3"/>
      <c r="BO64" s="3"/>
    </row>
    <row r="65" spans="1:67" s="4" customFormat="1" ht="52.8" x14ac:dyDescent="0.25">
      <c r="A65" s="92" t="s">
        <v>84</v>
      </c>
      <c r="B65" s="66" t="s">
        <v>5</v>
      </c>
      <c r="C65" s="67" t="s">
        <v>85</v>
      </c>
      <c r="D65" s="68">
        <f t="shared" ref="D65:E66" si="11">+D66</f>
        <v>66712686</v>
      </c>
      <c r="E65" s="68">
        <f t="shared" si="11"/>
        <v>66448654.539999999</v>
      </c>
      <c r="F65" s="54">
        <f t="shared" si="1"/>
        <v>-264031.46000000089</v>
      </c>
      <c r="G65" s="125">
        <f t="shared" si="0"/>
        <v>99.604226008828363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22"/>
      <c r="X65" s="3"/>
      <c r="Y65" s="3"/>
      <c r="Z65" s="3"/>
      <c r="AA65" s="3"/>
      <c r="AD65" s="5"/>
      <c r="AE65" s="5"/>
      <c r="AF65" s="5"/>
      <c r="AG65" s="5"/>
      <c r="AH65" s="5"/>
      <c r="AI65" s="5"/>
      <c r="AJ65" s="3"/>
      <c r="AK65" s="3"/>
      <c r="AL65" s="3"/>
      <c r="AM65" s="3"/>
      <c r="AN65" s="3"/>
      <c r="AO65" s="3"/>
      <c r="AP65" s="3"/>
      <c r="AQ65" s="3"/>
      <c r="AR65" s="3"/>
      <c r="AS65" s="6"/>
      <c r="AT65" s="6"/>
      <c r="AU65" s="3"/>
      <c r="AV65" s="3"/>
      <c r="AW65" s="3"/>
      <c r="AX65" s="3"/>
      <c r="BN65" s="3"/>
      <c r="BO65" s="3"/>
    </row>
    <row r="66" spans="1:67" s="4" customFormat="1" ht="66" x14ac:dyDescent="0.25">
      <c r="A66" s="92" t="s">
        <v>86</v>
      </c>
      <c r="B66" s="66" t="s">
        <v>5</v>
      </c>
      <c r="C66" s="67" t="s">
        <v>87</v>
      </c>
      <c r="D66" s="68">
        <f t="shared" si="11"/>
        <v>66712686</v>
      </c>
      <c r="E66" s="68">
        <f>+E67</f>
        <v>66448654.539999999</v>
      </c>
      <c r="F66" s="54">
        <f t="shared" si="1"/>
        <v>-264031.46000000089</v>
      </c>
      <c r="G66" s="125">
        <f t="shared" si="0"/>
        <v>99.604226008828363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22"/>
      <c r="X66" s="3"/>
      <c r="Y66" s="3"/>
      <c r="Z66" s="3"/>
      <c r="AA66" s="3"/>
      <c r="AD66" s="5"/>
      <c r="AE66" s="5"/>
      <c r="AF66" s="5"/>
      <c r="AG66" s="5"/>
      <c r="AH66" s="5"/>
      <c r="AI66" s="5"/>
      <c r="AJ66" s="3"/>
      <c r="AK66" s="3"/>
      <c r="AL66" s="3"/>
      <c r="AM66" s="3"/>
      <c r="AN66" s="3"/>
      <c r="AO66" s="3"/>
      <c r="AP66" s="3"/>
      <c r="AQ66" s="3"/>
      <c r="AR66" s="3"/>
      <c r="AS66" s="6"/>
      <c r="AT66" s="6"/>
      <c r="AU66" s="3"/>
      <c r="AV66" s="3"/>
      <c r="AW66" s="3"/>
      <c r="AX66" s="3"/>
      <c r="BN66" s="3"/>
      <c r="BO66" s="3"/>
    </row>
    <row r="67" spans="1:67" s="4" customFormat="1" ht="79.2" x14ac:dyDescent="0.25">
      <c r="A67" s="92" t="s">
        <v>312</v>
      </c>
      <c r="B67" s="66" t="s">
        <v>77</v>
      </c>
      <c r="C67" s="67" t="s">
        <v>311</v>
      </c>
      <c r="D67" s="68">
        <f>60890993+1212908-2010000+3091099+3452686+75000</f>
        <v>66712686</v>
      </c>
      <c r="E67" s="68">
        <f>65946107.32+447869.33+54677.89</f>
        <v>66448654.539999999</v>
      </c>
      <c r="F67" s="54">
        <f t="shared" si="1"/>
        <v>-264031.46000000089</v>
      </c>
      <c r="G67" s="125">
        <f t="shared" si="0"/>
        <v>99.604226008828363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22"/>
      <c r="X67" s="3"/>
      <c r="Y67" s="3"/>
      <c r="Z67" s="3"/>
      <c r="AA67" s="3"/>
      <c r="AD67" s="5"/>
      <c r="AE67" s="5"/>
      <c r="AF67" s="5"/>
      <c r="AG67" s="5"/>
      <c r="AH67" s="5"/>
      <c r="AI67" s="5"/>
      <c r="AJ67" s="3"/>
      <c r="AK67" s="3"/>
      <c r="AL67" s="3"/>
      <c r="AM67" s="3"/>
      <c r="AN67" s="3"/>
      <c r="AO67" s="3"/>
      <c r="AP67" s="3"/>
      <c r="AQ67" s="3"/>
      <c r="AR67" s="3"/>
      <c r="AS67" s="6"/>
      <c r="AT67" s="6"/>
      <c r="AU67" s="3"/>
      <c r="AV67" s="3"/>
      <c r="AW67" s="3"/>
      <c r="AX67" s="3"/>
      <c r="BN67" s="3"/>
      <c r="BO67" s="3"/>
    </row>
    <row r="68" spans="1:67" s="4" customFormat="1" ht="66" x14ac:dyDescent="0.25">
      <c r="A68" s="92" t="s">
        <v>88</v>
      </c>
      <c r="B68" s="66" t="s">
        <v>5</v>
      </c>
      <c r="C68" s="67" t="s">
        <v>89</v>
      </c>
      <c r="D68" s="68">
        <f t="shared" ref="D68:E69" si="12">+D69</f>
        <v>9060000</v>
      </c>
      <c r="E68" s="68">
        <f t="shared" si="12"/>
        <v>9451838.5999999996</v>
      </c>
      <c r="F68" s="54">
        <f t="shared" si="1"/>
        <v>391838.59999999963</v>
      </c>
      <c r="G68" s="125">
        <f t="shared" si="0"/>
        <v>104.3249293598234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22"/>
      <c r="X68" s="3"/>
      <c r="Y68" s="3"/>
      <c r="Z68" s="3"/>
      <c r="AA68" s="3"/>
      <c r="AD68" s="5"/>
      <c r="AE68" s="5"/>
      <c r="AF68" s="5"/>
      <c r="AG68" s="5"/>
      <c r="AH68" s="5"/>
      <c r="AI68" s="5"/>
      <c r="AJ68" s="3"/>
      <c r="AK68" s="3"/>
      <c r="AL68" s="3"/>
      <c r="AM68" s="3"/>
      <c r="AN68" s="3"/>
      <c r="AO68" s="3"/>
      <c r="AP68" s="3"/>
      <c r="AQ68" s="3"/>
      <c r="AR68" s="3"/>
      <c r="AS68" s="6"/>
      <c r="AT68" s="6"/>
      <c r="AU68" s="3"/>
      <c r="AV68" s="3"/>
      <c r="AW68" s="3"/>
      <c r="AX68" s="3"/>
      <c r="BN68" s="3"/>
      <c r="BO68" s="3"/>
    </row>
    <row r="69" spans="1:67" s="4" customFormat="1" ht="66" x14ac:dyDescent="0.25">
      <c r="A69" s="92" t="s">
        <v>90</v>
      </c>
      <c r="B69" s="66" t="s">
        <v>5</v>
      </c>
      <c r="C69" s="67" t="s">
        <v>91</v>
      </c>
      <c r="D69" s="68">
        <f t="shared" si="12"/>
        <v>9060000</v>
      </c>
      <c r="E69" s="68">
        <f>+E70</f>
        <v>9451838.5999999996</v>
      </c>
      <c r="F69" s="54">
        <f t="shared" si="1"/>
        <v>391838.59999999963</v>
      </c>
      <c r="G69" s="125">
        <f t="shared" si="0"/>
        <v>104.3249293598234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22"/>
      <c r="X69" s="3"/>
      <c r="Y69" s="3"/>
      <c r="Z69" s="3"/>
      <c r="AA69" s="3"/>
      <c r="AD69" s="5"/>
      <c r="AE69" s="5"/>
      <c r="AF69" s="5"/>
      <c r="AG69" s="5"/>
      <c r="AH69" s="5"/>
      <c r="AI69" s="5"/>
      <c r="AJ69" s="3"/>
      <c r="AK69" s="3"/>
      <c r="AL69" s="3"/>
      <c r="AM69" s="3"/>
      <c r="AN69" s="3"/>
      <c r="AO69" s="3"/>
      <c r="AP69" s="3"/>
      <c r="AQ69" s="3"/>
      <c r="AR69" s="3"/>
      <c r="AS69" s="6"/>
      <c r="AT69" s="6"/>
      <c r="AU69" s="3"/>
      <c r="AV69" s="3"/>
      <c r="AW69" s="3"/>
      <c r="AX69" s="3"/>
      <c r="BN69" s="3"/>
      <c r="BO69" s="3"/>
    </row>
    <row r="70" spans="1:67" s="4" customFormat="1" ht="66" x14ac:dyDescent="0.25">
      <c r="A70" s="92" t="s">
        <v>581</v>
      </c>
      <c r="B70" s="66" t="s">
        <v>77</v>
      </c>
      <c r="C70" s="67" t="s">
        <v>313</v>
      </c>
      <c r="D70" s="68">
        <f>9012052+2246600-2198652</f>
        <v>9060000</v>
      </c>
      <c r="E70" s="68">
        <f>9373552.7+78285.9</f>
        <v>9451838.5999999996</v>
      </c>
      <c r="F70" s="54">
        <f t="shared" si="1"/>
        <v>391838.59999999963</v>
      </c>
      <c r="G70" s="125">
        <f t="shared" si="0"/>
        <v>104.3249293598234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22"/>
      <c r="X70" s="3"/>
      <c r="Y70" s="3"/>
      <c r="Z70" s="3"/>
      <c r="AA70" s="3"/>
      <c r="AD70" s="5"/>
      <c r="AE70" s="5"/>
      <c r="AF70" s="5"/>
      <c r="AG70" s="5"/>
      <c r="AH70" s="5"/>
      <c r="AI70" s="5"/>
      <c r="AJ70" s="3"/>
      <c r="AK70" s="3"/>
      <c r="AL70" s="3"/>
      <c r="AM70" s="3"/>
      <c r="AN70" s="3"/>
      <c r="AO70" s="3"/>
      <c r="AP70" s="3"/>
      <c r="AQ70" s="3"/>
      <c r="AR70" s="3"/>
      <c r="AS70" s="6"/>
      <c r="AT70" s="6"/>
      <c r="AU70" s="3"/>
      <c r="AV70" s="3"/>
      <c r="AW70" s="3"/>
      <c r="AX70" s="3"/>
      <c r="BN70" s="3"/>
      <c r="BO70" s="3"/>
    </row>
    <row r="71" spans="1:67" s="4" customFormat="1" ht="39.6" x14ac:dyDescent="0.25">
      <c r="A71" s="92" t="s">
        <v>92</v>
      </c>
      <c r="B71" s="66" t="s">
        <v>5</v>
      </c>
      <c r="C71" s="67" t="s">
        <v>93</v>
      </c>
      <c r="D71" s="68">
        <f t="shared" ref="D71:E72" si="13">+D72</f>
        <v>5195255</v>
      </c>
      <c r="E71" s="68">
        <f t="shared" si="13"/>
        <v>5416361.4699999997</v>
      </c>
      <c r="F71" s="54">
        <f t="shared" si="1"/>
        <v>221106.46999999974</v>
      </c>
      <c r="G71" s="125">
        <f t="shared" si="0"/>
        <v>104.25593103707132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22"/>
      <c r="X71" s="3"/>
      <c r="Y71" s="3"/>
      <c r="Z71" s="3"/>
      <c r="AA71" s="3"/>
      <c r="AD71" s="5"/>
      <c r="AE71" s="5"/>
      <c r="AF71" s="5"/>
      <c r="AG71" s="5"/>
      <c r="AH71" s="5"/>
      <c r="AI71" s="5"/>
      <c r="AJ71" s="3"/>
      <c r="AK71" s="3"/>
      <c r="AL71" s="3"/>
      <c r="AM71" s="3"/>
      <c r="AN71" s="3"/>
      <c r="AO71" s="3"/>
      <c r="AP71" s="3"/>
      <c r="AQ71" s="3"/>
      <c r="AR71" s="3"/>
      <c r="AS71" s="6"/>
      <c r="AT71" s="6"/>
      <c r="AU71" s="3"/>
      <c r="AV71" s="3"/>
      <c r="AW71" s="3"/>
      <c r="AX71" s="3"/>
      <c r="BN71" s="3"/>
      <c r="BO71" s="3"/>
    </row>
    <row r="72" spans="1:67" s="4" customFormat="1" ht="26.4" x14ac:dyDescent="0.25">
      <c r="A72" s="92" t="s">
        <v>94</v>
      </c>
      <c r="B72" s="66" t="s">
        <v>5</v>
      </c>
      <c r="C72" s="67" t="s">
        <v>95</v>
      </c>
      <c r="D72" s="68">
        <f t="shared" si="13"/>
        <v>5195255</v>
      </c>
      <c r="E72" s="68">
        <f>+E73</f>
        <v>5416361.4699999997</v>
      </c>
      <c r="F72" s="54">
        <f t="shared" si="1"/>
        <v>221106.46999999974</v>
      </c>
      <c r="G72" s="125">
        <f t="shared" ref="G72:G134" si="14">E72/D72*100</f>
        <v>104.25593103707132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22"/>
      <c r="X72" s="3"/>
      <c r="Y72" s="3"/>
      <c r="Z72" s="3"/>
      <c r="AA72" s="3"/>
      <c r="AD72" s="5"/>
      <c r="AE72" s="5"/>
      <c r="AF72" s="5"/>
      <c r="AG72" s="5"/>
      <c r="AH72" s="5"/>
      <c r="AI72" s="5"/>
      <c r="AJ72" s="3"/>
      <c r="AK72" s="3"/>
      <c r="AL72" s="3"/>
      <c r="AM72" s="3"/>
      <c r="AN72" s="3"/>
      <c r="AO72" s="3"/>
      <c r="AP72" s="3"/>
      <c r="AQ72" s="3"/>
      <c r="AR72" s="3"/>
      <c r="AS72" s="6"/>
      <c r="AT72" s="6"/>
      <c r="AU72" s="3"/>
      <c r="AV72" s="3"/>
      <c r="AW72" s="3"/>
      <c r="AX72" s="3"/>
      <c r="BN72" s="3"/>
      <c r="BO72" s="3"/>
    </row>
    <row r="73" spans="1:67" s="4" customFormat="1" ht="39.6" x14ac:dyDescent="0.25">
      <c r="A73" s="92" t="s">
        <v>582</v>
      </c>
      <c r="B73" s="66" t="s">
        <v>77</v>
      </c>
      <c r="C73" s="67" t="s">
        <v>314</v>
      </c>
      <c r="D73" s="68">
        <f>5502231-330976+24000</f>
        <v>5195255</v>
      </c>
      <c r="E73" s="68">
        <f>5406525.26+9836.21</f>
        <v>5416361.4699999997</v>
      </c>
      <c r="F73" s="54">
        <f t="shared" ref="F73:F135" si="15">+E73-D73</f>
        <v>221106.46999999974</v>
      </c>
      <c r="G73" s="125">
        <f t="shared" si="14"/>
        <v>104.25593103707132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22"/>
      <c r="X73" s="3"/>
      <c r="Y73" s="3"/>
      <c r="Z73" s="3"/>
      <c r="AA73" s="3"/>
      <c r="AD73" s="5"/>
      <c r="AE73" s="5"/>
      <c r="AF73" s="5"/>
      <c r="AG73" s="5"/>
      <c r="AH73" s="5"/>
      <c r="AI73" s="5"/>
      <c r="AJ73" s="3"/>
      <c r="AK73" s="3"/>
      <c r="AL73" s="3"/>
      <c r="AM73" s="3"/>
      <c r="AN73" s="3"/>
      <c r="AO73" s="3"/>
      <c r="AP73" s="3"/>
      <c r="AQ73" s="3"/>
      <c r="AR73" s="3"/>
      <c r="AS73" s="6"/>
      <c r="AT73" s="6"/>
      <c r="AU73" s="3"/>
      <c r="AV73" s="3"/>
      <c r="AW73" s="3"/>
      <c r="AX73" s="3"/>
      <c r="BN73" s="3"/>
      <c r="BO73" s="3"/>
    </row>
    <row r="74" spans="1:67" s="4" customFormat="1" ht="39.6" x14ac:dyDescent="0.25">
      <c r="A74" s="92" t="s">
        <v>572</v>
      </c>
      <c r="B74" s="66" t="s">
        <v>5</v>
      </c>
      <c r="C74" s="69" t="s">
        <v>571</v>
      </c>
      <c r="D74" s="68">
        <f>D75</f>
        <v>0</v>
      </c>
      <c r="E74" s="68">
        <f>E75</f>
        <v>2263.23</v>
      </c>
      <c r="F74" s="54">
        <f t="shared" si="15"/>
        <v>2263.23</v>
      </c>
      <c r="G74" s="125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22"/>
      <c r="X74" s="3"/>
      <c r="Y74" s="3"/>
      <c r="Z74" s="3"/>
      <c r="AA74" s="3"/>
      <c r="AD74" s="5"/>
      <c r="AE74" s="5"/>
      <c r="AF74" s="5"/>
      <c r="AG74" s="5"/>
      <c r="AH74" s="5"/>
      <c r="AI74" s="5"/>
      <c r="AJ74" s="3"/>
      <c r="AK74" s="3"/>
      <c r="AL74" s="3"/>
      <c r="AM74" s="3"/>
      <c r="AN74" s="3"/>
      <c r="AO74" s="3"/>
      <c r="AP74" s="3"/>
      <c r="AQ74" s="3"/>
      <c r="AR74" s="3"/>
      <c r="AS74" s="6"/>
      <c r="AT74" s="6"/>
      <c r="AU74" s="3"/>
      <c r="AV74" s="3"/>
      <c r="AW74" s="3"/>
      <c r="AX74" s="3"/>
      <c r="BN74" s="3"/>
      <c r="BO74" s="3"/>
    </row>
    <row r="75" spans="1:67" s="4" customFormat="1" ht="79.2" x14ac:dyDescent="0.25">
      <c r="A75" s="110" t="s">
        <v>552</v>
      </c>
      <c r="B75" s="66" t="s">
        <v>5</v>
      </c>
      <c r="C75" s="69" t="s">
        <v>589</v>
      </c>
      <c r="D75" s="68">
        <f>D76</f>
        <v>0</v>
      </c>
      <c r="E75" s="68">
        <f>E76</f>
        <v>2263.23</v>
      </c>
      <c r="F75" s="54">
        <f t="shared" si="15"/>
        <v>2263.23</v>
      </c>
      <c r="G75" s="12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22"/>
      <c r="X75" s="3"/>
      <c r="Y75" s="3"/>
      <c r="Z75" s="3"/>
      <c r="AA75" s="3"/>
      <c r="AD75" s="5"/>
      <c r="AE75" s="5"/>
      <c r="AF75" s="5"/>
      <c r="AG75" s="5"/>
      <c r="AH75" s="5"/>
      <c r="AI75" s="5"/>
      <c r="AJ75" s="3"/>
      <c r="AK75" s="3"/>
      <c r="AL75" s="3"/>
      <c r="AM75" s="3"/>
      <c r="AN75" s="3"/>
      <c r="AO75" s="3"/>
      <c r="AP75" s="3"/>
      <c r="AQ75" s="3"/>
      <c r="AR75" s="3"/>
      <c r="AS75" s="6"/>
      <c r="AT75" s="6"/>
      <c r="AU75" s="3"/>
      <c r="AV75" s="3"/>
      <c r="AW75" s="3"/>
      <c r="AX75" s="3"/>
      <c r="BN75" s="3"/>
      <c r="BO75" s="3"/>
    </row>
    <row r="76" spans="1:67" s="4" customFormat="1" ht="78.75" customHeight="1" x14ac:dyDescent="0.25">
      <c r="A76" s="110" t="s">
        <v>552</v>
      </c>
      <c r="B76" s="66" t="s">
        <v>79</v>
      </c>
      <c r="C76" s="67" t="s">
        <v>551</v>
      </c>
      <c r="D76" s="68">
        <v>0</v>
      </c>
      <c r="E76" s="68">
        <v>2263.23</v>
      </c>
      <c r="F76" s="54">
        <f t="shared" si="15"/>
        <v>2263.23</v>
      </c>
      <c r="G76" s="12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22"/>
      <c r="X76" s="3"/>
      <c r="Y76" s="3"/>
      <c r="Z76" s="3"/>
      <c r="AA76" s="3"/>
      <c r="AD76" s="5"/>
      <c r="AE76" s="5"/>
      <c r="AF76" s="5"/>
      <c r="AG76" s="5"/>
      <c r="AH76" s="5"/>
      <c r="AI76" s="5"/>
      <c r="AJ76" s="3"/>
      <c r="AK76" s="3"/>
      <c r="AL76" s="3"/>
      <c r="AM76" s="3"/>
      <c r="AN76" s="3"/>
      <c r="AO76" s="3"/>
      <c r="AP76" s="3"/>
      <c r="AQ76" s="3"/>
      <c r="AR76" s="3"/>
      <c r="AS76" s="6"/>
      <c r="AT76" s="6"/>
      <c r="AU76" s="3"/>
      <c r="AV76" s="3"/>
      <c r="AW76" s="3"/>
      <c r="AX76" s="3"/>
      <c r="BN76" s="3"/>
      <c r="BO76" s="3"/>
    </row>
    <row r="77" spans="1:67" s="4" customFormat="1" ht="52.8" x14ac:dyDescent="0.25">
      <c r="A77" s="88" t="s">
        <v>454</v>
      </c>
      <c r="B77" s="16" t="s">
        <v>5</v>
      </c>
      <c r="C77" s="38" t="s">
        <v>457</v>
      </c>
      <c r="D77" s="54">
        <f>+D78+D80</f>
        <v>554729</v>
      </c>
      <c r="E77" s="54">
        <f>+E78+E80</f>
        <v>566597.48</v>
      </c>
      <c r="F77" s="54">
        <f t="shared" si="15"/>
        <v>11868.479999999981</v>
      </c>
      <c r="G77" s="125">
        <f t="shared" si="14"/>
        <v>102.13950956232682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22"/>
      <c r="X77" s="3"/>
      <c r="Y77" s="3"/>
      <c r="Z77" s="3"/>
      <c r="AA77" s="3"/>
      <c r="AD77" s="5"/>
      <c r="AE77" s="5"/>
      <c r="AF77" s="5"/>
      <c r="AG77" s="5"/>
      <c r="AH77" s="5"/>
      <c r="AI77" s="5"/>
      <c r="AJ77" s="3"/>
      <c r="AK77" s="3"/>
      <c r="AL77" s="3"/>
      <c r="AM77" s="3"/>
      <c r="AN77" s="3"/>
      <c r="AO77" s="3"/>
      <c r="AP77" s="3"/>
      <c r="AQ77" s="3"/>
      <c r="AR77" s="3"/>
      <c r="AS77" s="6"/>
      <c r="AT77" s="6"/>
      <c r="AU77" s="3"/>
      <c r="AV77" s="3"/>
      <c r="AW77" s="3"/>
      <c r="AX77" s="3"/>
      <c r="BN77" s="3"/>
      <c r="BO77" s="3"/>
    </row>
    <row r="78" spans="1:67" s="4" customFormat="1" ht="52.8" x14ac:dyDescent="0.25">
      <c r="A78" s="81" t="s">
        <v>455</v>
      </c>
      <c r="B78" s="66" t="s">
        <v>5</v>
      </c>
      <c r="C78" s="71" t="s">
        <v>458</v>
      </c>
      <c r="D78" s="68">
        <f>+D79</f>
        <v>553700</v>
      </c>
      <c r="E78" s="68">
        <f>+E79</f>
        <v>565568.48</v>
      </c>
      <c r="F78" s="54">
        <f t="shared" si="15"/>
        <v>11868.479999999981</v>
      </c>
      <c r="G78" s="125">
        <f t="shared" si="14"/>
        <v>102.14348564204442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22"/>
      <c r="X78" s="3"/>
      <c r="Y78" s="3"/>
      <c r="Z78" s="3"/>
      <c r="AA78" s="3"/>
      <c r="AD78" s="5"/>
      <c r="AE78" s="5"/>
      <c r="AF78" s="5"/>
      <c r="AG78" s="5"/>
      <c r="AH78" s="5"/>
      <c r="AI78" s="5"/>
      <c r="AJ78" s="3"/>
      <c r="AK78" s="3"/>
      <c r="AL78" s="3"/>
      <c r="AM78" s="3"/>
      <c r="AN78" s="3"/>
      <c r="AO78" s="3"/>
      <c r="AP78" s="3"/>
      <c r="AQ78" s="3"/>
      <c r="AR78" s="3"/>
      <c r="AS78" s="6"/>
      <c r="AT78" s="6"/>
      <c r="AU78" s="3"/>
      <c r="AV78" s="3"/>
      <c r="AW78" s="3"/>
      <c r="AX78" s="3"/>
      <c r="BN78" s="3"/>
      <c r="BO78" s="3"/>
    </row>
    <row r="79" spans="1:67" s="4" customFormat="1" ht="129" customHeight="1" x14ac:dyDescent="0.25">
      <c r="A79" s="81" t="s">
        <v>456</v>
      </c>
      <c r="B79" s="66" t="s">
        <v>77</v>
      </c>
      <c r="C79" s="71" t="s">
        <v>459</v>
      </c>
      <c r="D79" s="68">
        <f>118000+425100+10600</f>
        <v>553700</v>
      </c>
      <c r="E79" s="68">
        <v>565568.48</v>
      </c>
      <c r="F79" s="54">
        <f t="shared" si="15"/>
        <v>11868.479999999981</v>
      </c>
      <c r="G79" s="125">
        <f t="shared" si="14"/>
        <v>102.14348564204442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22"/>
      <c r="X79" s="3"/>
      <c r="Y79" s="3"/>
      <c r="Z79" s="3"/>
      <c r="AA79" s="3"/>
      <c r="AD79" s="5"/>
      <c r="AE79" s="5"/>
      <c r="AF79" s="5"/>
      <c r="AG79" s="5"/>
      <c r="AH79" s="5"/>
      <c r="AI79" s="5"/>
      <c r="AJ79" s="3"/>
      <c r="AK79" s="3"/>
      <c r="AL79" s="3"/>
      <c r="AM79" s="3"/>
      <c r="AN79" s="3"/>
      <c r="AO79" s="3"/>
      <c r="AP79" s="3"/>
      <c r="AQ79" s="3"/>
      <c r="AR79" s="3"/>
      <c r="AS79" s="6"/>
      <c r="AT79" s="6"/>
      <c r="AU79" s="3"/>
      <c r="AV79" s="3"/>
      <c r="AW79" s="3"/>
      <c r="AX79" s="3"/>
      <c r="BN79" s="3">
        <v>0</v>
      </c>
      <c r="BO79" s="3"/>
    </row>
    <row r="80" spans="1:67" s="4" customFormat="1" ht="52.8" x14ac:dyDescent="0.25">
      <c r="A80" s="92" t="s">
        <v>460</v>
      </c>
      <c r="B80" s="66" t="s">
        <v>5</v>
      </c>
      <c r="C80" s="67" t="s">
        <v>461</v>
      </c>
      <c r="D80" s="68">
        <f>+D81</f>
        <v>1029</v>
      </c>
      <c r="E80" s="68">
        <f t="shared" ref="E80" si="16">+E81</f>
        <v>1029</v>
      </c>
      <c r="F80" s="54">
        <f t="shared" si="15"/>
        <v>0</v>
      </c>
      <c r="G80" s="125">
        <f t="shared" si="14"/>
        <v>100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22"/>
      <c r="X80" s="3"/>
      <c r="Y80" s="3"/>
      <c r="Z80" s="3"/>
      <c r="AA80" s="3"/>
      <c r="AD80" s="5"/>
      <c r="AE80" s="5"/>
      <c r="AF80" s="5"/>
      <c r="AG80" s="5"/>
      <c r="AH80" s="5"/>
      <c r="AI80" s="5"/>
      <c r="AJ80" s="3"/>
      <c r="AK80" s="3"/>
      <c r="AL80" s="3"/>
      <c r="AM80" s="3"/>
      <c r="AN80" s="3"/>
      <c r="AO80" s="3"/>
      <c r="AP80" s="3"/>
      <c r="AQ80" s="3"/>
      <c r="AR80" s="3"/>
      <c r="AS80" s="6"/>
      <c r="AT80" s="6"/>
      <c r="AU80" s="3"/>
      <c r="AV80" s="3"/>
      <c r="AW80" s="3"/>
      <c r="AX80" s="3"/>
      <c r="BN80" s="3"/>
      <c r="BO80" s="3"/>
    </row>
    <row r="81" spans="1:67" s="4" customFormat="1" ht="118.8" x14ac:dyDescent="0.25">
      <c r="A81" s="92" t="s">
        <v>462</v>
      </c>
      <c r="B81" s="66" t="s">
        <v>77</v>
      </c>
      <c r="C81" s="67" t="s">
        <v>463</v>
      </c>
      <c r="D81" s="68">
        <v>1029</v>
      </c>
      <c r="E81" s="68">
        <v>1029</v>
      </c>
      <c r="F81" s="54">
        <f t="shared" si="15"/>
        <v>0</v>
      </c>
      <c r="G81" s="125">
        <f t="shared" si="14"/>
        <v>100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22"/>
      <c r="X81" s="3"/>
      <c r="Y81" s="3"/>
      <c r="Z81" s="3"/>
      <c r="AA81" s="3"/>
      <c r="AD81" s="5"/>
      <c r="AE81" s="5"/>
      <c r="AF81" s="5"/>
      <c r="AG81" s="5"/>
      <c r="AH81" s="5"/>
      <c r="AI81" s="5"/>
      <c r="AJ81" s="3"/>
      <c r="AK81" s="3"/>
      <c r="AL81" s="3"/>
      <c r="AM81" s="3"/>
      <c r="AN81" s="3"/>
      <c r="AO81" s="3"/>
      <c r="AP81" s="3"/>
      <c r="AQ81" s="3"/>
      <c r="AR81" s="3"/>
      <c r="AS81" s="6"/>
      <c r="AT81" s="6"/>
      <c r="AU81" s="3"/>
      <c r="AV81" s="3"/>
      <c r="AW81" s="3"/>
      <c r="AX81" s="3"/>
      <c r="BN81" s="3"/>
      <c r="BO81" s="3"/>
    </row>
    <row r="82" spans="1:67" s="4" customFormat="1" ht="26.4" x14ac:dyDescent="0.25">
      <c r="A82" s="92" t="s">
        <v>96</v>
      </c>
      <c r="B82" s="66" t="s">
        <v>5</v>
      </c>
      <c r="C82" s="67" t="s">
        <v>97</v>
      </c>
      <c r="D82" s="68">
        <f>+D83</f>
        <v>365624</v>
      </c>
      <c r="E82" s="68">
        <f t="shared" ref="D82:E83" si="17">+E83</f>
        <v>365624</v>
      </c>
      <c r="F82" s="54">
        <f t="shared" si="15"/>
        <v>0</v>
      </c>
      <c r="G82" s="125">
        <f t="shared" si="14"/>
        <v>100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22"/>
      <c r="X82" s="3"/>
      <c r="Y82" s="3"/>
      <c r="Z82" s="3"/>
      <c r="AA82" s="3"/>
      <c r="AD82" s="5"/>
      <c r="AE82" s="5"/>
      <c r="AF82" s="5"/>
      <c r="AG82" s="5"/>
      <c r="AH82" s="5"/>
      <c r="AI82" s="5"/>
      <c r="AJ82" s="3"/>
      <c r="AK82" s="3"/>
      <c r="AL82" s="3"/>
      <c r="AM82" s="3"/>
      <c r="AN82" s="3"/>
      <c r="AO82" s="3"/>
      <c r="AP82" s="3"/>
      <c r="AQ82" s="3"/>
      <c r="AR82" s="3"/>
      <c r="AS82" s="6"/>
      <c r="AT82" s="6"/>
      <c r="AU82" s="3"/>
      <c r="AV82" s="3"/>
      <c r="AW82" s="3"/>
      <c r="AX82" s="3"/>
      <c r="BN82" s="3"/>
      <c r="BO82" s="3"/>
    </row>
    <row r="83" spans="1:67" s="4" customFormat="1" ht="39.6" x14ac:dyDescent="0.25">
      <c r="A83" s="92" t="s">
        <v>98</v>
      </c>
      <c r="B83" s="66" t="s">
        <v>5</v>
      </c>
      <c r="C83" s="67" t="s">
        <v>99</v>
      </c>
      <c r="D83" s="68">
        <f t="shared" si="17"/>
        <v>365624</v>
      </c>
      <c r="E83" s="68">
        <f t="shared" si="17"/>
        <v>365624</v>
      </c>
      <c r="F83" s="54">
        <f t="shared" si="15"/>
        <v>0</v>
      </c>
      <c r="G83" s="125">
        <f t="shared" si="14"/>
        <v>100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22"/>
      <c r="X83" s="3"/>
      <c r="Y83" s="3"/>
      <c r="Z83" s="3"/>
      <c r="AA83" s="3"/>
      <c r="AD83" s="5"/>
      <c r="AE83" s="5"/>
      <c r="AF83" s="5"/>
      <c r="AG83" s="5"/>
      <c r="AH83" s="5"/>
      <c r="AI83" s="5"/>
      <c r="AJ83" s="3"/>
      <c r="AK83" s="3"/>
      <c r="AL83" s="3"/>
      <c r="AM83" s="3"/>
      <c r="AN83" s="3"/>
      <c r="AO83" s="3"/>
      <c r="AP83" s="3"/>
      <c r="AQ83" s="3"/>
      <c r="AR83" s="3"/>
      <c r="AS83" s="6"/>
      <c r="AT83" s="6"/>
      <c r="AU83" s="3"/>
      <c r="AV83" s="3"/>
      <c r="AW83" s="3"/>
      <c r="AX83" s="3"/>
      <c r="BN83" s="3"/>
      <c r="BO83" s="3"/>
    </row>
    <row r="84" spans="1:67" s="4" customFormat="1" ht="39.6" x14ac:dyDescent="0.25">
      <c r="A84" s="92" t="s">
        <v>100</v>
      </c>
      <c r="B84" s="66" t="s">
        <v>77</v>
      </c>
      <c r="C84" s="67" t="s">
        <v>101</v>
      </c>
      <c r="D84" s="68">
        <f>316000+4424+45200</f>
        <v>365624</v>
      </c>
      <c r="E84" s="68">
        <v>365624</v>
      </c>
      <c r="F84" s="54">
        <f t="shared" si="15"/>
        <v>0</v>
      </c>
      <c r="G84" s="125">
        <f t="shared" si="14"/>
        <v>100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22"/>
      <c r="X84" s="3"/>
      <c r="Y84" s="3"/>
      <c r="Z84" s="3"/>
      <c r="AA84" s="3"/>
      <c r="AD84" s="5"/>
      <c r="AE84" s="5"/>
      <c r="AF84" s="5"/>
      <c r="AG84" s="5"/>
      <c r="AH84" s="5"/>
      <c r="AI84" s="5"/>
      <c r="AJ84" s="3"/>
      <c r="AK84" s="3"/>
      <c r="AL84" s="3"/>
      <c r="AM84" s="3"/>
      <c r="AN84" s="3"/>
      <c r="AO84" s="3"/>
      <c r="AP84" s="3"/>
      <c r="AQ84" s="3"/>
      <c r="AR84" s="3"/>
      <c r="AS84" s="6"/>
      <c r="AT84" s="6"/>
      <c r="AU84" s="3"/>
      <c r="AV84" s="3"/>
      <c r="AW84" s="3"/>
      <c r="AX84" s="3"/>
      <c r="BN84" s="3"/>
      <c r="BO84" s="3"/>
    </row>
    <row r="85" spans="1:67" s="4" customFormat="1" ht="66" x14ac:dyDescent="0.25">
      <c r="A85" s="92" t="s">
        <v>102</v>
      </c>
      <c r="B85" s="66" t="s">
        <v>5</v>
      </c>
      <c r="C85" s="67" t="s">
        <v>103</v>
      </c>
      <c r="D85" s="68">
        <f>+D86+D90</f>
        <v>20330113</v>
      </c>
      <c r="E85" s="68">
        <f>+E86+E90</f>
        <v>18754026.759999998</v>
      </c>
      <c r="F85" s="54">
        <f t="shared" si="15"/>
        <v>-1576086.2400000021</v>
      </c>
      <c r="G85" s="125">
        <f t="shared" si="14"/>
        <v>92.247528383142779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22"/>
      <c r="X85" s="3"/>
      <c r="Y85" s="3"/>
      <c r="Z85" s="3"/>
      <c r="AA85" s="3"/>
      <c r="AD85" s="5"/>
      <c r="AE85" s="5"/>
      <c r="AF85" s="5"/>
      <c r="AG85" s="5"/>
      <c r="AH85" s="5"/>
      <c r="AI85" s="5"/>
      <c r="AJ85" s="3"/>
      <c r="AK85" s="3"/>
      <c r="AL85" s="3"/>
      <c r="AM85" s="3"/>
      <c r="AN85" s="3"/>
      <c r="AO85" s="3"/>
      <c r="AP85" s="3"/>
      <c r="AQ85" s="3"/>
      <c r="AR85" s="3"/>
      <c r="AS85" s="6"/>
      <c r="AT85" s="6"/>
      <c r="AU85" s="3"/>
      <c r="AV85" s="3"/>
      <c r="AW85" s="3"/>
      <c r="AX85" s="3"/>
      <c r="BN85" s="3"/>
      <c r="BO85" s="3"/>
    </row>
    <row r="86" spans="1:67" s="4" customFormat="1" ht="66" x14ac:dyDescent="0.25">
      <c r="A86" s="92" t="s">
        <v>104</v>
      </c>
      <c r="B86" s="66" t="s">
        <v>5</v>
      </c>
      <c r="C86" s="69" t="s">
        <v>105</v>
      </c>
      <c r="D86" s="68">
        <f>D87</f>
        <v>7500000</v>
      </c>
      <c r="E86" s="68">
        <f>E87</f>
        <v>6424708.3499999996</v>
      </c>
      <c r="F86" s="54">
        <f t="shared" si="15"/>
        <v>-1075291.6500000004</v>
      </c>
      <c r="G86" s="125">
        <f t="shared" si="14"/>
        <v>85.662777999999989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22"/>
      <c r="X86" s="3"/>
      <c r="Y86" s="3"/>
      <c r="Z86" s="3"/>
      <c r="AA86" s="3"/>
      <c r="AD86" s="5"/>
      <c r="AE86" s="5"/>
      <c r="AF86" s="5"/>
      <c r="AG86" s="5"/>
      <c r="AH86" s="5"/>
      <c r="AI86" s="5"/>
      <c r="AJ86" s="3"/>
      <c r="AK86" s="3"/>
      <c r="AL86" s="3"/>
      <c r="AM86" s="3"/>
      <c r="AN86" s="3"/>
      <c r="AO86" s="3"/>
      <c r="AP86" s="3"/>
      <c r="AQ86" s="3"/>
      <c r="AR86" s="3"/>
      <c r="AS86" s="6"/>
      <c r="AT86" s="6"/>
      <c r="AU86" s="3"/>
      <c r="AV86" s="3"/>
      <c r="AW86" s="3"/>
      <c r="AX86" s="3"/>
      <c r="BN86" s="3"/>
      <c r="BO86" s="3"/>
    </row>
    <row r="87" spans="1:67" s="4" customFormat="1" ht="66" customHeight="1" x14ac:dyDescent="0.25">
      <c r="A87" s="93" t="s">
        <v>106</v>
      </c>
      <c r="B87" s="66" t="s">
        <v>5</v>
      </c>
      <c r="C87" s="67" t="s">
        <v>107</v>
      </c>
      <c r="D87" s="68">
        <f>+D88+D89</f>
        <v>7500000</v>
      </c>
      <c r="E87" s="68">
        <f>+E88+E89</f>
        <v>6424708.3499999996</v>
      </c>
      <c r="F87" s="54">
        <f t="shared" si="15"/>
        <v>-1075291.6500000004</v>
      </c>
      <c r="G87" s="125">
        <f t="shared" si="14"/>
        <v>85.662777999999989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22"/>
      <c r="X87" s="3"/>
      <c r="Y87" s="3"/>
      <c r="Z87" s="3"/>
      <c r="AA87" s="3"/>
      <c r="AD87" s="5"/>
      <c r="AE87" s="5"/>
      <c r="AF87" s="5"/>
      <c r="AG87" s="5"/>
      <c r="AH87" s="5"/>
      <c r="AI87" s="5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BN87" s="3"/>
      <c r="BO87" s="3"/>
    </row>
    <row r="88" spans="1:67" s="4" customFormat="1" ht="77.25" customHeight="1" x14ac:dyDescent="0.25">
      <c r="A88" s="93" t="s">
        <v>108</v>
      </c>
      <c r="B88" s="66" t="s">
        <v>79</v>
      </c>
      <c r="C88" s="67" t="s">
        <v>109</v>
      </c>
      <c r="D88" s="68">
        <v>7000000</v>
      </c>
      <c r="E88" s="68">
        <v>5885580.79</v>
      </c>
      <c r="F88" s="54">
        <f t="shared" si="15"/>
        <v>-1114419.21</v>
      </c>
      <c r="G88" s="125">
        <f t="shared" si="14"/>
        <v>84.079725571428582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22"/>
      <c r="X88" s="3"/>
      <c r="Y88" s="3"/>
      <c r="Z88" s="3"/>
      <c r="AA88" s="3"/>
      <c r="AD88" s="5"/>
      <c r="AE88" s="5"/>
      <c r="AF88" s="5"/>
      <c r="AG88" s="5"/>
      <c r="AH88" s="5"/>
      <c r="AI88" s="5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BN88" s="3"/>
      <c r="BO88" s="3"/>
    </row>
    <row r="89" spans="1:67" s="4" customFormat="1" ht="82.5" customHeight="1" x14ac:dyDescent="0.25">
      <c r="A89" s="93" t="s">
        <v>110</v>
      </c>
      <c r="B89" s="66" t="s">
        <v>79</v>
      </c>
      <c r="C89" s="67" t="s">
        <v>111</v>
      </c>
      <c r="D89" s="68">
        <f>350000+150000</f>
        <v>500000</v>
      </c>
      <c r="E89" s="68">
        <v>539127.56000000006</v>
      </c>
      <c r="F89" s="54">
        <f t="shared" si="15"/>
        <v>39127.560000000056</v>
      </c>
      <c r="G89" s="125">
        <f t="shared" si="14"/>
        <v>107.82551200000002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22"/>
      <c r="X89" s="3"/>
      <c r="Y89" s="3"/>
      <c r="Z89" s="3"/>
      <c r="AA89" s="3"/>
      <c r="AD89" s="5"/>
      <c r="AE89" s="5"/>
      <c r="AF89" s="5"/>
      <c r="AG89" s="5"/>
      <c r="AH89" s="5"/>
      <c r="AI89" s="5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BN89" s="3"/>
      <c r="BO89" s="3"/>
    </row>
    <row r="90" spans="1:67" s="4" customFormat="1" ht="92.4" x14ac:dyDescent="0.25">
      <c r="A90" s="86" t="s">
        <v>298</v>
      </c>
      <c r="B90" s="16" t="s">
        <v>5</v>
      </c>
      <c r="C90" s="17" t="s">
        <v>297</v>
      </c>
      <c r="D90" s="54">
        <f>+D91</f>
        <v>12830113</v>
      </c>
      <c r="E90" s="54">
        <f>+E91</f>
        <v>12329318.41</v>
      </c>
      <c r="F90" s="54">
        <f t="shared" si="15"/>
        <v>-500794.58999999985</v>
      </c>
      <c r="G90" s="125">
        <f t="shared" si="14"/>
        <v>96.096725024947176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22"/>
      <c r="X90" s="3"/>
      <c r="Y90" s="3"/>
      <c r="Z90" s="3"/>
      <c r="AA90" s="3"/>
      <c r="AD90" s="5"/>
      <c r="AE90" s="5"/>
      <c r="AF90" s="5"/>
      <c r="AG90" s="5"/>
      <c r="AH90" s="5"/>
      <c r="AI90" s="5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BN90" s="3"/>
      <c r="BO90" s="3"/>
    </row>
    <row r="91" spans="1:67" s="4" customFormat="1" ht="79.2" x14ac:dyDescent="0.25">
      <c r="A91" s="86" t="s">
        <v>299</v>
      </c>
      <c r="B91" s="16" t="s">
        <v>5</v>
      </c>
      <c r="C91" s="17" t="s">
        <v>315</v>
      </c>
      <c r="D91" s="54">
        <f>D92+D96+D99</f>
        <v>12830113</v>
      </c>
      <c r="E91" s="54">
        <f>E92+E96+E99</f>
        <v>12329318.41</v>
      </c>
      <c r="F91" s="54">
        <f t="shared" si="15"/>
        <v>-500794.58999999985</v>
      </c>
      <c r="G91" s="125">
        <f t="shared" si="14"/>
        <v>96.096725024947176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22"/>
      <c r="X91" s="3"/>
      <c r="Y91" s="3"/>
      <c r="Z91" s="3"/>
      <c r="AA91" s="3"/>
      <c r="AD91" s="5"/>
      <c r="AE91" s="5"/>
      <c r="AF91" s="5"/>
      <c r="AG91" s="5"/>
      <c r="AH91" s="5"/>
      <c r="AI91" s="5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BN91" s="3"/>
      <c r="BO91" s="3"/>
    </row>
    <row r="92" spans="1:67" s="4" customFormat="1" ht="79.2" x14ac:dyDescent="0.25">
      <c r="A92" s="86" t="s">
        <v>299</v>
      </c>
      <c r="B92" s="16" t="s">
        <v>5</v>
      </c>
      <c r="C92" s="17" t="s">
        <v>302</v>
      </c>
      <c r="D92" s="54">
        <f>D93+D94+D95</f>
        <v>6047114</v>
      </c>
      <c r="E92" s="54">
        <f>E93+E94+E95</f>
        <v>6016541.3300000001</v>
      </c>
      <c r="F92" s="54">
        <f t="shared" si="15"/>
        <v>-30572.669999999925</v>
      </c>
      <c r="G92" s="125">
        <f t="shared" si="14"/>
        <v>99.494425439970215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22"/>
      <c r="X92" s="3"/>
      <c r="Y92" s="3"/>
      <c r="Z92" s="3"/>
      <c r="AA92" s="3"/>
      <c r="AD92" s="5"/>
      <c r="AE92" s="5"/>
      <c r="AF92" s="5"/>
      <c r="AG92" s="5"/>
      <c r="AH92" s="5"/>
      <c r="AI92" s="5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BN92" s="3"/>
      <c r="BO92" s="3"/>
    </row>
    <row r="93" spans="1:67" s="4" customFormat="1" ht="98.4" customHeight="1" x14ac:dyDescent="0.25">
      <c r="A93" s="80" t="s">
        <v>344</v>
      </c>
      <c r="B93" s="16" t="s">
        <v>77</v>
      </c>
      <c r="C93" s="17" t="s">
        <v>300</v>
      </c>
      <c r="D93" s="54">
        <f>6468845-571731+150000</f>
        <v>6047114</v>
      </c>
      <c r="E93" s="54">
        <v>5955572.5</v>
      </c>
      <c r="F93" s="54">
        <f t="shared" si="15"/>
        <v>-91541.5</v>
      </c>
      <c r="G93" s="125">
        <f t="shared" si="14"/>
        <v>98.486195232965684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22"/>
      <c r="X93" s="3"/>
      <c r="Y93" s="3"/>
      <c r="Z93" s="3"/>
      <c r="AA93" s="3"/>
      <c r="AD93" s="5"/>
      <c r="AE93" s="5"/>
      <c r="AF93" s="5"/>
      <c r="AG93" s="5"/>
      <c r="AH93" s="5"/>
      <c r="AI93" s="5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BN93" s="3"/>
      <c r="BO93" s="3"/>
    </row>
    <row r="94" spans="1:67" s="4" customFormat="1" ht="105.6" x14ac:dyDescent="0.25">
      <c r="A94" s="94" t="s">
        <v>560</v>
      </c>
      <c r="B94" s="16" t="s">
        <v>77</v>
      </c>
      <c r="C94" s="65" t="s">
        <v>573</v>
      </c>
      <c r="D94" s="54">
        <v>0</v>
      </c>
      <c r="E94" s="54">
        <v>32767.63</v>
      </c>
      <c r="F94" s="54">
        <f t="shared" si="15"/>
        <v>32767.63</v>
      </c>
      <c r="G94" s="1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22"/>
      <c r="X94" s="3"/>
      <c r="Y94" s="3"/>
      <c r="Z94" s="3"/>
      <c r="AA94" s="3"/>
      <c r="AD94" s="5"/>
      <c r="AE94" s="5"/>
      <c r="AF94" s="5"/>
      <c r="AG94" s="5"/>
      <c r="AH94" s="5"/>
      <c r="AI94" s="5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BN94" s="3"/>
      <c r="BO94" s="3"/>
    </row>
    <row r="95" spans="1:67" s="4" customFormat="1" ht="79.2" x14ac:dyDescent="0.25">
      <c r="A95" s="94" t="s">
        <v>299</v>
      </c>
      <c r="B95" s="16" t="s">
        <v>77</v>
      </c>
      <c r="C95" s="65" t="s">
        <v>574</v>
      </c>
      <c r="D95" s="54">
        <v>0</v>
      </c>
      <c r="E95" s="54">
        <v>28201.200000000001</v>
      </c>
      <c r="F95" s="54">
        <f t="shared" si="15"/>
        <v>28201.200000000001</v>
      </c>
      <c r="G95" s="12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22"/>
      <c r="X95" s="3"/>
      <c r="Y95" s="3"/>
      <c r="Z95" s="3"/>
      <c r="AA95" s="3"/>
      <c r="AD95" s="5"/>
      <c r="AE95" s="5"/>
      <c r="AF95" s="5"/>
      <c r="AG95" s="5"/>
      <c r="AH95" s="5"/>
      <c r="AI95" s="5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BN95" s="3"/>
      <c r="BO95" s="3"/>
    </row>
    <row r="96" spans="1:67" s="4" customFormat="1" ht="79.5" customHeight="1" x14ac:dyDescent="0.25">
      <c r="A96" s="86" t="s">
        <v>299</v>
      </c>
      <c r="B96" s="16" t="s">
        <v>5</v>
      </c>
      <c r="C96" s="17" t="s">
        <v>303</v>
      </c>
      <c r="D96" s="54">
        <f>D97+D98</f>
        <v>3079979</v>
      </c>
      <c r="E96" s="54">
        <f>E97+E98</f>
        <v>2604720.4300000002</v>
      </c>
      <c r="F96" s="54">
        <f t="shared" si="15"/>
        <v>-475258.56999999983</v>
      </c>
      <c r="G96" s="125">
        <f t="shared" si="14"/>
        <v>84.569421739563808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22"/>
      <c r="X96" s="3"/>
      <c r="Y96" s="3"/>
      <c r="Z96" s="3"/>
      <c r="AA96" s="3"/>
      <c r="AD96" s="5"/>
      <c r="AE96" s="5"/>
      <c r="AF96" s="5"/>
      <c r="AG96" s="5"/>
      <c r="AH96" s="5"/>
      <c r="AI96" s="5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BN96" s="3"/>
      <c r="BO96" s="3"/>
    </row>
    <row r="97" spans="1:67" s="4" customFormat="1" ht="118.8" x14ac:dyDescent="0.25">
      <c r="A97" s="80" t="s">
        <v>333</v>
      </c>
      <c r="B97" s="16" t="s">
        <v>77</v>
      </c>
      <c r="C97" s="17" t="s">
        <v>301</v>
      </c>
      <c r="D97" s="54">
        <f>2350359-57380+787000</f>
        <v>3079979</v>
      </c>
      <c r="E97" s="54">
        <v>2598889.56</v>
      </c>
      <c r="F97" s="54">
        <f t="shared" si="15"/>
        <v>-481089.43999999994</v>
      </c>
      <c r="G97" s="125">
        <f t="shared" si="14"/>
        <v>84.380106487739042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22"/>
      <c r="X97" s="3"/>
      <c r="Y97" s="3"/>
      <c r="Z97" s="3"/>
      <c r="AA97" s="3"/>
      <c r="AD97" s="5"/>
      <c r="AE97" s="5"/>
      <c r="AF97" s="5"/>
      <c r="AG97" s="5"/>
      <c r="AH97" s="5"/>
      <c r="AI97" s="5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BN97" s="3"/>
      <c r="BO97" s="3"/>
    </row>
    <row r="98" spans="1:67" s="4" customFormat="1" ht="118.8" x14ac:dyDescent="0.25">
      <c r="A98" s="94" t="s">
        <v>579</v>
      </c>
      <c r="B98" s="16" t="s">
        <v>77</v>
      </c>
      <c r="C98" s="65" t="s">
        <v>578</v>
      </c>
      <c r="D98" s="54">
        <v>0</v>
      </c>
      <c r="E98" s="54">
        <v>5830.87</v>
      </c>
      <c r="F98" s="54">
        <f t="shared" si="15"/>
        <v>5830.87</v>
      </c>
      <c r="G98" s="12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22"/>
      <c r="X98" s="3"/>
      <c r="Y98" s="3"/>
      <c r="Z98" s="3"/>
      <c r="AA98" s="3"/>
      <c r="AD98" s="5"/>
      <c r="AE98" s="5"/>
      <c r="AF98" s="5"/>
      <c r="AG98" s="5"/>
      <c r="AH98" s="5"/>
      <c r="AI98" s="5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BN98" s="3"/>
      <c r="BO98" s="3"/>
    </row>
    <row r="99" spans="1:67" s="4" customFormat="1" ht="77.25" customHeight="1" x14ac:dyDescent="0.25">
      <c r="A99" s="80" t="s">
        <v>299</v>
      </c>
      <c r="B99" s="16" t="s">
        <v>5</v>
      </c>
      <c r="C99" s="65" t="s">
        <v>304</v>
      </c>
      <c r="D99" s="54">
        <f>D100+D101</f>
        <v>3703020</v>
      </c>
      <c r="E99" s="54">
        <f>E100+E101</f>
        <v>3708056.65</v>
      </c>
      <c r="F99" s="54">
        <f t="shared" si="15"/>
        <v>5036.6499999999069</v>
      </c>
      <c r="G99" s="125">
        <f t="shared" si="14"/>
        <v>100.13601465830592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22"/>
      <c r="X99" s="3"/>
      <c r="Y99" s="3"/>
      <c r="Z99" s="3"/>
      <c r="AA99" s="3"/>
      <c r="AD99" s="5"/>
      <c r="AE99" s="5"/>
      <c r="AF99" s="5"/>
      <c r="AG99" s="5"/>
      <c r="AH99" s="5"/>
      <c r="AI99" s="5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BN99" s="3"/>
      <c r="BO99" s="3"/>
    </row>
    <row r="100" spans="1:67" s="4" customFormat="1" ht="92.4" x14ac:dyDescent="0.25">
      <c r="A100" s="80" t="s">
        <v>334</v>
      </c>
      <c r="B100" s="16" t="s">
        <v>77</v>
      </c>
      <c r="C100" s="65" t="s">
        <v>305</v>
      </c>
      <c r="D100" s="54">
        <f>2391394+311626+750000+250000</f>
        <v>3703020</v>
      </c>
      <c r="E100" s="54">
        <v>3693318.5</v>
      </c>
      <c r="F100" s="54">
        <f t="shared" si="15"/>
        <v>-9701.5</v>
      </c>
      <c r="G100" s="125">
        <f t="shared" si="14"/>
        <v>99.73801113685586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22"/>
      <c r="X100" s="3"/>
      <c r="Y100" s="3"/>
      <c r="Z100" s="3"/>
      <c r="AA100" s="3"/>
      <c r="AD100" s="5"/>
      <c r="AE100" s="5"/>
      <c r="AF100" s="5"/>
      <c r="AG100" s="5"/>
      <c r="AH100" s="5"/>
      <c r="AI100" s="5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BN100" s="3"/>
      <c r="BO100" s="3"/>
    </row>
    <row r="101" spans="1:67" s="4" customFormat="1" ht="118.8" x14ac:dyDescent="0.25">
      <c r="A101" s="94" t="s">
        <v>579</v>
      </c>
      <c r="B101" s="16" t="s">
        <v>77</v>
      </c>
      <c r="C101" s="65" t="s">
        <v>580</v>
      </c>
      <c r="D101" s="54">
        <v>0</v>
      </c>
      <c r="E101" s="54">
        <v>14738.15</v>
      </c>
      <c r="F101" s="54">
        <f t="shared" si="15"/>
        <v>14738.15</v>
      </c>
      <c r="G101" s="125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22"/>
      <c r="X101" s="3"/>
      <c r="Y101" s="3"/>
      <c r="Z101" s="3"/>
      <c r="AA101" s="3"/>
      <c r="AD101" s="5"/>
      <c r="AE101" s="5"/>
      <c r="AF101" s="5"/>
      <c r="AG101" s="5"/>
      <c r="AH101" s="5"/>
      <c r="AI101" s="5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BN101" s="3"/>
      <c r="BO101" s="3"/>
    </row>
    <row r="102" spans="1:67" s="4" customFormat="1" ht="26.4" x14ac:dyDescent="0.25">
      <c r="A102" s="78" t="s">
        <v>112</v>
      </c>
      <c r="B102" s="16" t="s">
        <v>5</v>
      </c>
      <c r="C102" s="17" t="s">
        <v>113</v>
      </c>
      <c r="D102" s="54">
        <f>+D103+D109</f>
        <v>18956777</v>
      </c>
      <c r="E102" s="54">
        <f>+E103+E109</f>
        <v>19131059.800000001</v>
      </c>
      <c r="F102" s="54">
        <f t="shared" si="15"/>
        <v>174282.80000000075</v>
      </c>
      <c r="G102" s="125">
        <f t="shared" si="14"/>
        <v>100.91936936326256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22"/>
      <c r="X102" s="3"/>
      <c r="Y102" s="3"/>
      <c r="Z102" s="3"/>
      <c r="AA102" s="3"/>
      <c r="AD102" s="5"/>
      <c r="AE102" s="5"/>
      <c r="AF102" s="5"/>
      <c r="AG102" s="5"/>
      <c r="AH102" s="5"/>
      <c r="AI102" s="5"/>
      <c r="AJ102" s="3"/>
      <c r="AK102" s="3"/>
      <c r="AL102" s="3"/>
      <c r="AM102" s="3"/>
      <c r="AN102" s="3"/>
      <c r="AO102" s="3"/>
      <c r="AP102" s="3"/>
      <c r="AQ102" s="3"/>
      <c r="AR102" s="3"/>
      <c r="AS102" s="6"/>
      <c r="AT102" s="6"/>
      <c r="AU102" s="3"/>
      <c r="AV102" s="3"/>
      <c r="AW102" s="3"/>
      <c r="AX102" s="3"/>
      <c r="BN102" s="3"/>
      <c r="BO102" s="3"/>
    </row>
    <row r="103" spans="1:67" s="4" customFormat="1" x14ac:dyDescent="0.25">
      <c r="A103" s="80" t="s">
        <v>114</v>
      </c>
      <c r="B103" s="16" t="s">
        <v>5</v>
      </c>
      <c r="C103" s="17" t="s">
        <v>115</v>
      </c>
      <c r="D103" s="113">
        <f>+D104+D105+D106</f>
        <v>18482000</v>
      </c>
      <c r="E103" s="113">
        <f>+E104+E105+E106</f>
        <v>18655042.670000002</v>
      </c>
      <c r="F103" s="54">
        <f t="shared" si="15"/>
        <v>173042.67000000179</v>
      </c>
      <c r="G103" s="125">
        <f t="shared" si="14"/>
        <v>100.93627675576238</v>
      </c>
      <c r="H103" s="3"/>
      <c r="I103" s="3"/>
      <c r="J103" s="3"/>
      <c r="K103" s="3"/>
      <c r="L103" s="3"/>
      <c r="M103" s="140"/>
      <c r="N103" s="3"/>
      <c r="O103" s="3"/>
      <c r="P103" s="3"/>
      <c r="Q103" s="3"/>
      <c r="R103" s="3"/>
      <c r="S103" s="3"/>
      <c r="T103" s="3"/>
      <c r="U103" s="3"/>
      <c r="V103" s="3"/>
      <c r="W103" s="122"/>
      <c r="X103" s="3"/>
      <c r="Y103" s="3"/>
      <c r="Z103" s="3"/>
      <c r="AA103" s="3"/>
      <c r="AD103" s="5"/>
      <c r="AE103" s="5"/>
      <c r="AF103" s="5"/>
      <c r="AG103" s="5"/>
      <c r="AH103" s="5"/>
      <c r="AI103" s="5"/>
      <c r="AJ103" s="3"/>
      <c r="AK103" s="3"/>
      <c r="AL103" s="3"/>
      <c r="AM103" s="3"/>
      <c r="AN103" s="145"/>
      <c r="AO103" s="3"/>
      <c r="AP103" s="3"/>
      <c r="AQ103" s="3"/>
      <c r="AR103" s="3"/>
      <c r="AS103" s="140"/>
      <c r="AT103" s="6"/>
      <c r="AU103" s="3"/>
      <c r="AV103" s="3"/>
      <c r="AW103" s="3"/>
      <c r="AX103" s="3"/>
      <c r="BN103" s="3"/>
      <c r="BO103" s="3"/>
    </row>
    <row r="104" spans="1:67" s="4" customFormat="1" ht="26.4" x14ac:dyDescent="0.25">
      <c r="A104" s="80" t="s">
        <v>335</v>
      </c>
      <c r="B104" s="16" t="s">
        <v>116</v>
      </c>
      <c r="C104" s="17" t="s">
        <v>117</v>
      </c>
      <c r="D104" s="54">
        <f>2689692.87-184692.87</f>
        <v>2505000</v>
      </c>
      <c r="E104" s="54">
        <v>2519291.08</v>
      </c>
      <c r="F104" s="54">
        <f t="shared" si="15"/>
        <v>14291.080000000075</v>
      </c>
      <c r="G104" s="125">
        <f t="shared" si="14"/>
        <v>100.5705021956088</v>
      </c>
      <c r="H104" s="3"/>
      <c r="I104" s="25"/>
      <c r="J104" s="25"/>
      <c r="K104" s="25"/>
      <c r="L104" s="25"/>
      <c r="M104" s="140"/>
      <c r="N104" s="3"/>
      <c r="O104" s="3"/>
      <c r="P104" s="3"/>
      <c r="Q104" s="3"/>
      <c r="R104" s="3"/>
      <c r="S104" s="3"/>
      <c r="T104" s="3"/>
      <c r="U104" s="3"/>
      <c r="V104" s="3"/>
      <c r="W104" s="122"/>
      <c r="X104" s="3"/>
      <c r="Y104" s="3"/>
      <c r="Z104" s="3"/>
      <c r="AA104" s="3"/>
      <c r="AD104" s="5"/>
      <c r="AE104" s="5"/>
      <c r="AF104" s="5"/>
      <c r="AG104" s="5"/>
      <c r="AH104" s="5"/>
      <c r="AI104" s="5"/>
      <c r="AJ104" s="3"/>
      <c r="AK104" s="3"/>
      <c r="AL104" s="3"/>
      <c r="AM104" s="3"/>
      <c r="AN104" s="145"/>
      <c r="AO104" s="25"/>
      <c r="AP104" s="25"/>
      <c r="AQ104" s="25"/>
      <c r="AR104" s="25"/>
      <c r="AS104" s="140"/>
      <c r="AT104" s="6"/>
      <c r="AU104" s="3"/>
      <c r="AV104" s="3"/>
      <c r="AW104" s="3"/>
      <c r="AX104" s="3"/>
      <c r="BN104" s="56"/>
      <c r="BO104" s="3"/>
    </row>
    <row r="105" spans="1:67" s="4" customFormat="1" x14ac:dyDescent="0.25">
      <c r="A105" s="80" t="s">
        <v>118</v>
      </c>
      <c r="B105" s="16" t="s">
        <v>116</v>
      </c>
      <c r="C105" s="17" t="s">
        <v>119</v>
      </c>
      <c r="D105" s="54">
        <f>27893667.63-12968667.63</f>
        <v>14924999.999999998</v>
      </c>
      <c r="E105" s="54">
        <v>14916996.470000001</v>
      </c>
      <c r="F105" s="54">
        <f t="shared" si="15"/>
        <v>-8003.5299999974668</v>
      </c>
      <c r="G105" s="125">
        <f t="shared" si="14"/>
        <v>99.946375008375227</v>
      </c>
      <c r="H105" s="3"/>
      <c r="I105" s="25"/>
      <c r="J105" s="25"/>
      <c r="K105" s="25"/>
      <c r="L105" s="25"/>
      <c r="M105" s="140"/>
      <c r="N105" s="3"/>
      <c r="O105" s="3"/>
      <c r="P105" s="3"/>
      <c r="Q105" s="3"/>
      <c r="R105" s="3"/>
      <c r="S105" s="3"/>
      <c r="T105" s="3"/>
      <c r="U105" s="3"/>
      <c r="V105" s="3"/>
      <c r="W105" s="122"/>
      <c r="X105" s="3"/>
      <c r="Y105" s="3"/>
      <c r="Z105" s="3"/>
      <c r="AA105" s="3"/>
      <c r="AD105" s="5"/>
      <c r="AE105" s="5"/>
      <c r="AF105" s="5"/>
      <c r="AG105" s="5"/>
      <c r="AH105" s="5"/>
      <c r="AI105" s="5"/>
      <c r="AJ105" s="3"/>
      <c r="AK105" s="3"/>
      <c r="AL105" s="3"/>
      <c r="AM105" s="3"/>
      <c r="AN105" s="145"/>
      <c r="AO105" s="25"/>
      <c r="AP105" s="25"/>
      <c r="AQ105" s="25"/>
      <c r="AR105" s="25"/>
      <c r="AS105" s="140"/>
      <c r="AT105" s="6"/>
      <c r="AU105" s="3"/>
      <c r="AV105" s="3"/>
      <c r="AW105" s="3"/>
      <c r="AX105" s="3"/>
      <c r="BN105" s="56"/>
      <c r="BO105" s="3"/>
    </row>
    <row r="106" spans="1:67" s="4" customFormat="1" x14ac:dyDescent="0.25">
      <c r="A106" s="80" t="s">
        <v>120</v>
      </c>
      <c r="B106" s="16" t="s">
        <v>5</v>
      </c>
      <c r="C106" s="17" t="s">
        <v>121</v>
      </c>
      <c r="D106" s="54">
        <f>+D107</f>
        <v>1052000</v>
      </c>
      <c r="E106" s="54">
        <f>+E107+E108</f>
        <v>1218755.1199999999</v>
      </c>
      <c r="F106" s="54">
        <f t="shared" si="15"/>
        <v>166755.11999999988</v>
      </c>
      <c r="G106" s="125">
        <f t="shared" si="14"/>
        <v>115.85124714828896</v>
      </c>
      <c r="H106" s="3"/>
      <c r="I106" s="25"/>
      <c r="J106" s="25"/>
      <c r="K106" s="25"/>
      <c r="L106" s="25"/>
      <c r="M106" s="140"/>
      <c r="N106" s="3"/>
      <c r="O106" s="3"/>
      <c r="P106" s="3"/>
      <c r="Q106" s="3"/>
      <c r="R106" s="3"/>
      <c r="S106" s="3"/>
      <c r="T106" s="3"/>
      <c r="U106" s="3"/>
      <c r="V106" s="3"/>
      <c r="W106" s="122"/>
      <c r="X106" s="3"/>
      <c r="Y106" s="3"/>
      <c r="Z106" s="3"/>
      <c r="AA106" s="3"/>
      <c r="AD106" s="5"/>
      <c r="AE106" s="5"/>
      <c r="AF106" s="5"/>
      <c r="AG106" s="5"/>
      <c r="AH106" s="5"/>
      <c r="AI106" s="5"/>
      <c r="AJ106" s="3"/>
      <c r="AK106" s="3"/>
      <c r="AL106" s="3"/>
      <c r="AM106" s="3"/>
      <c r="AN106" s="145"/>
      <c r="AO106" s="25"/>
      <c r="AP106" s="25"/>
      <c r="AQ106" s="25"/>
      <c r="AR106" s="25"/>
      <c r="AS106" s="140"/>
      <c r="AT106" s="6"/>
      <c r="AU106" s="3"/>
      <c r="AV106" s="3"/>
      <c r="AW106" s="3"/>
      <c r="AX106" s="3"/>
      <c r="BN106" s="3"/>
      <c r="BO106" s="3"/>
    </row>
    <row r="107" spans="1:67" s="4" customFormat="1" x14ac:dyDescent="0.25">
      <c r="A107" s="80" t="s">
        <v>122</v>
      </c>
      <c r="B107" s="16" t="s">
        <v>116</v>
      </c>
      <c r="C107" s="17" t="s">
        <v>123</v>
      </c>
      <c r="D107" s="54">
        <f>3344000-2292000</f>
        <v>1052000</v>
      </c>
      <c r="E107" s="54">
        <v>1224026.68</v>
      </c>
      <c r="F107" s="54">
        <f t="shared" si="15"/>
        <v>172026.67999999993</v>
      </c>
      <c r="G107" s="125">
        <f t="shared" si="14"/>
        <v>116.35234600760455</v>
      </c>
      <c r="H107" s="3"/>
      <c r="I107" s="25"/>
      <c r="J107" s="25"/>
      <c r="K107" s="25"/>
      <c r="L107" s="25"/>
      <c r="M107" s="140"/>
      <c r="N107" s="3"/>
      <c r="O107" s="3"/>
      <c r="P107" s="3"/>
      <c r="Q107" s="3"/>
      <c r="R107" s="3"/>
      <c r="S107" s="3"/>
      <c r="T107" s="3"/>
      <c r="U107" s="3"/>
      <c r="V107" s="3"/>
      <c r="W107" s="122"/>
      <c r="X107" s="3"/>
      <c r="Y107" s="3"/>
      <c r="Z107" s="3"/>
      <c r="AA107" s="3"/>
      <c r="AD107" s="5"/>
      <c r="AE107" s="5"/>
      <c r="AF107" s="5"/>
      <c r="AG107" s="5"/>
      <c r="AH107" s="5"/>
      <c r="AI107" s="5"/>
      <c r="AJ107" s="3"/>
      <c r="AK107" s="3"/>
      <c r="AL107" s="3"/>
      <c r="AM107" s="3"/>
      <c r="AN107" s="145"/>
      <c r="AO107" s="25"/>
      <c r="AP107" s="25"/>
      <c r="AQ107" s="25"/>
      <c r="AR107" s="25"/>
      <c r="AS107" s="140"/>
      <c r="AT107" s="6"/>
      <c r="AU107" s="3"/>
      <c r="AV107" s="3"/>
      <c r="AW107" s="3"/>
      <c r="AX107" s="3"/>
      <c r="BN107" s="56"/>
      <c r="BO107" s="3"/>
    </row>
    <row r="108" spans="1:67" s="4" customFormat="1" x14ac:dyDescent="0.25">
      <c r="A108" s="80" t="s">
        <v>553</v>
      </c>
      <c r="B108" s="16" t="s">
        <v>116</v>
      </c>
      <c r="C108" s="17" t="s">
        <v>554</v>
      </c>
      <c r="D108" s="54">
        <v>0</v>
      </c>
      <c r="E108" s="54">
        <v>-5271.56</v>
      </c>
      <c r="F108" s="54">
        <f t="shared" si="15"/>
        <v>-5271.56</v>
      </c>
      <c r="G108" s="125"/>
      <c r="H108" s="3"/>
      <c r="I108" s="25"/>
      <c r="J108" s="25"/>
      <c r="K108" s="25"/>
      <c r="L108" s="25"/>
      <c r="M108" s="140"/>
      <c r="N108" s="3"/>
      <c r="O108" s="3"/>
      <c r="P108" s="3"/>
      <c r="Q108" s="3"/>
      <c r="R108" s="3"/>
      <c r="S108" s="3"/>
      <c r="T108" s="3"/>
      <c r="U108" s="3"/>
      <c r="V108" s="3"/>
      <c r="W108" s="122"/>
      <c r="X108" s="3"/>
      <c r="Y108" s="3"/>
      <c r="Z108" s="3"/>
      <c r="AA108" s="3"/>
      <c r="AD108" s="5"/>
      <c r="AE108" s="5"/>
      <c r="AF108" s="5"/>
      <c r="AG108" s="5"/>
      <c r="AH108" s="5"/>
      <c r="AI108" s="5"/>
      <c r="AJ108" s="3"/>
      <c r="AK108" s="3"/>
      <c r="AL108" s="3"/>
      <c r="AM108" s="3"/>
      <c r="AN108" s="124"/>
      <c r="AO108" s="25"/>
      <c r="AP108" s="25"/>
      <c r="AQ108" s="25"/>
      <c r="AR108" s="25"/>
      <c r="AS108" s="140"/>
      <c r="AT108" s="6"/>
      <c r="AU108" s="3"/>
      <c r="AV108" s="3"/>
      <c r="AW108" s="3"/>
      <c r="AX108" s="3"/>
      <c r="BN108" s="56"/>
      <c r="BO108" s="3"/>
    </row>
    <row r="109" spans="1:67" s="4" customFormat="1" x14ac:dyDescent="0.25">
      <c r="A109" s="80" t="s">
        <v>124</v>
      </c>
      <c r="B109" s="16" t="s">
        <v>5</v>
      </c>
      <c r="C109" s="17" t="s">
        <v>125</v>
      </c>
      <c r="D109" s="54">
        <f t="shared" ref="D109:E110" si="18">+D110</f>
        <v>474777</v>
      </c>
      <c r="E109" s="54">
        <f t="shared" si="18"/>
        <v>476017.13</v>
      </c>
      <c r="F109" s="54">
        <f t="shared" si="15"/>
        <v>1240.1300000000047</v>
      </c>
      <c r="G109" s="125">
        <f t="shared" si="14"/>
        <v>100.26120262775997</v>
      </c>
      <c r="H109" s="3"/>
      <c r="I109" s="25"/>
      <c r="J109" s="25"/>
      <c r="K109" s="25"/>
      <c r="L109" s="25"/>
      <c r="M109" s="140"/>
      <c r="N109" s="3"/>
      <c r="O109" s="3"/>
      <c r="P109" s="3"/>
      <c r="Q109" s="3"/>
      <c r="R109" s="3"/>
      <c r="S109" s="3"/>
      <c r="T109" s="3"/>
      <c r="U109" s="3"/>
      <c r="V109" s="3"/>
      <c r="W109" s="122"/>
      <c r="X109" s="3"/>
      <c r="Y109" s="3"/>
      <c r="Z109" s="3"/>
      <c r="AA109" s="3"/>
      <c r="AD109" s="5"/>
      <c r="AE109" s="5"/>
      <c r="AF109" s="5"/>
      <c r="AG109" s="5"/>
      <c r="AH109" s="5"/>
      <c r="AI109" s="5"/>
      <c r="AJ109" s="3"/>
      <c r="AK109" s="3"/>
      <c r="AL109" s="3"/>
      <c r="AM109" s="3"/>
      <c r="AN109" s="3"/>
      <c r="AO109" s="25"/>
      <c r="AP109" s="25"/>
      <c r="AQ109" s="25"/>
      <c r="AR109" s="25"/>
      <c r="AS109" s="140"/>
      <c r="AT109" s="6"/>
      <c r="AU109" s="3"/>
      <c r="AV109" s="3"/>
      <c r="AW109" s="3"/>
      <c r="AX109" s="3"/>
      <c r="BN109" s="3"/>
      <c r="BO109" s="3"/>
    </row>
    <row r="110" spans="1:67" s="4" customFormat="1" ht="26.4" x14ac:dyDescent="0.25">
      <c r="A110" s="80" t="s">
        <v>126</v>
      </c>
      <c r="B110" s="16" t="s">
        <v>5</v>
      </c>
      <c r="C110" s="17" t="s">
        <v>127</v>
      </c>
      <c r="D110" s="54">
        <f t="shared" si="18"/>
        <v>474777</v>
      </c>
      <c r="E110" s="54">
        <f t="shared" si="18"/>
        <v>476017.13</v>
      </c>
      <c r="F110" s="54">
        <f t="shared" si="15"/>
        <v>1240.1300000000047</v>
      </c>
      <c r="G110" s="125">
        <f t="shared" si="14"/>
        <v>100.26120262775997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122"/>
      <c r="X110" s="3"/>
      <c r="Y110" s="3"/>
      <c r="Z110" s="3"/>
      <c r="AA110" s="3"/>
      <c r="AD110" s="5"/>
      <c r="AE110" s="5"/>
      <c r="AF110" s="5"/>
      <c r="AG110" s="5"/>
      <c r="AH110" s="5"/>
      <c r="AI110" s="5"/>
      <c r="AJ110" s="3"/>
      <c r="AK110" s="3"/>
      <c r="AL110" s="3"/>
      <c r="AM110" s="3"/>
      <c r="AN110" s="3"/>
      <c r="AO110" s="3"/>
      <c r="AP110" s="3"/>
      <c r="AQ110" s="3"/>
      <c r="AR110" s="3"/>
      <c r="AS110" s="6"/>
      <c r="AT110" s="6"/>
      <c r="AU110" s="3"/>
      <c r="AV110" s="3"/>
      <c r="AW110" s="3"/>
      <c r="AX110" s="3"/>
      <c r="BN110" s="3"/>
      <c r="BO110" s="3"/>
    </row>
    <row r="111" spans="1:67" s="4" customFormat="1" ht="39.6" x14ac:dyDescent="0.25">
      <c r="A111" s="80" t="s">
        <v>128</v>
      </c>
      <c r="B111" s="16" t="s">
        <v>77</v>
      </c>
      <c r="C111" s="17" t="s">
        <v>129</v>
      </c>
      <c r="D111" s="54">
        <f>469506+5271</f>
        <v>474777</v>
      </c>
      <c r="E111" s="54">
        <v>476017.13</v>
      </c>
      <c r="F111" s="54">
        <f t="shared" si="15"/>
        <v>1240.1300000000047</v>
      </c>
      <c r="G111" s="125">
        <f t="shared" si="14"/>
        <v>100.26120262775997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22"/>
      <c r="X111" s="3"/>
      <c r="Y111" s="3"/>
      <c r="Z111" s="3"/>
      <c r="AA111" s="3"/>
      <c r="AD111" s="5"/>
      <c r="AE111" s="5"/>
      <c r="AF111" s="5"/>
      <c r="AG111" s="5"/>
      <c r="AH111" s="5"/>
      <c r="AI111" s="5"/>
      <c r="AJ111" s="3"/>
      <c r="AK111" s="3"/>
      <c r="AL111" s="3"/>
      <c r="AM111" s="3"/>
      <c r="AN111" s="3"/>
      <c r="AO111" s="3"/>
      <c r="AP111" s="3"/>
      <c r="AQ111" s="3"/>
      <c r="AR111" s="3"/>
      <c r="AS111" s="6"/>
      <c r="AT111" s="6"/>
      <c r="AU111" s="3"/>
      <c r="AV111" s="3"/>
      <c r="AW111" s="3"/>
      <c r="AX111" s="3"/>
      <c r="BN111" s="3"/>
      <c r="BO111" s="3"/>
    </row>
    <row r="112" spans="1:67" s="23" customFormat="1" ht="26.4" x14ac:dyDescent="0.25">
      <c r="A112" s="80" t="s">
        <v>130</v>
      </c>
      <c r="B112" s="16" t="s">
        <v>5</v>
      </c>
      <c r="C112" s="17" t="s">
        <v>131</v>
      </c>
      <c r="D112" s="54">
        <f>+D117+D113</f>
        <v>97099738.400000006</v>
      </c>
      <c r="E112" s="54">
        <f>+E117+E113</f>
        <v>96978481.670000002</v>
      </c>
      <c r="F112" s="54">
        <f t="shared" si="15"/>
        <v>-121256.73000000417</v>
      </c>
      <c r="G112" s="125">
        <f t="shared" si="14"/>
        <v>99.875121465826723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3"/>
      <c r="V112" s="3"/>
      <c r="W112" s="122"/>
      <c r="X112" s="3"/>
      <c r="Y112" s="3"/>
      <c r="Z112" s="22"/>
      <c r="AA112" s="22"/>
      <c r="AD112" s="21"/>
      <c r="AE112" s="21"/>
      <c r="AF112" s="21"/>
      <c r="AG112" s="21"/>
      <c r="AH112" s="21"/>
      <c r="AI112" s="21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BN112" s="22"/>
      <c r="BO112" s="22"/>
    </row>
    <row r="113" spans="1:67" s="4" customFormat="1" x14ac:dyDescent="0.25">
      <c r="A113" s="80" t="s">
        <v>132</v>
      </c>
      <c r="B113" s="16" t="s">
        <v>5</v>
      </c>
      <c r="C113" s="17" t="s">
        <v>133</v>
      </c>
      <c r="D113" s="54">
        <f t="shared" ref="D113:E114" si="19">+D114</f>
        <v>37000</v>
      </c>
      <c r="E113" s="54">
        <f t="shared" si="19"/>
        <v>38100</v>
      </c>
      <c r="F113" s="54">
        <f t="shared" si="15"/>
        <v>1100</v>
      </c>
      <c r="G113" s="125">
        <f t="shared" si="14"/>
        <v>102.97297297297297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22"/>
      <c r="X113" s="3"/>
      <c r="Y113" s="3"/>
      <c r="Z113" s="3"/>
      <c r="AA113" s="3"/>
      <c r="AD113" s="5"/>
      <c r="AE113" s="5"/>
      <c r="AF113" s="5"/>
      <c r="AG113" s="5"/>
      <c r="AH113" s="5"/>
      <c r="AI113" s="5"/>
      <c r="AJ113" s="3"/>
      <c r="AK113" s="3"/>
      <c r="AL113" s="3"/>
      <c r="AM113" s="3"/>
      <c r="AN113" s="3"/>
      <c r="AO113" s="3"/>
      <c r="AP113" s="3"/>
      <c r="AQ113" s="3"/>
      <c r="AR113" s="3"/>
      <c r="AS113" s="6"/>
      <c r="AT113" s="6"/>
      <c r="AU113" s="3"/>
      <c r="AV113" s="3"/>
      <c r="AW113" s="3"/>
      <c r="AX113" s="3"/>
      <c r="BN113" s="3"/>
      <c r="BO113" s="3"/>
    </row>
    <row r="114" spans="1:67" s="4" customFormat="1" x14ac:dyDescent="0.25">
      <c r="A114" s="80" t="s">
        <v>134</v>
      </c>
      <c r="B114" s="16" t="s">
        <v>5</v>
      </c>
      <c r="C114" s="17" t="s">
        <v>135</v>
      </c>
      <c r="D114" s="54">
        <f t="shared" si="19"/>
        <v>37000</v>
      </c>
      <c r="E114" s="54">
        <f t="shared" si="19"/>
        <v>38100</v>
      </c>
      <c r="F114" s="54">
        <f t="shared" si="15"/>
        <v>1100</v>
      </c>
      <c r="G114" s="125">
        <f t="shared" si="14"/>
        <v>102.97297297297297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22"/>
      <c r="X114" s="3"/>
      <c r="Y114" s="3"/>
      <c r="Z114" s="3"/>
      <c r="AA114" s="3"/>
      <c r="AD114" s="5"/>
      <c r="AE114" s="5"/>
      <c r="AF114" s="5"/>
      <c r="AG114" s="5"/>
      <c r="AH114" s="5"/>
      <c r="AI114" s="5"/>
      <c r="AJ114" s="3"/>
      <c r="AK114" s="3"/>
      <c r="AL114" s="3"/>
      <c r="AM114" s="3"/>
      <c r="AN114" s="3"/>
      <c r="AO114" s="3"/>
      <c r="AP114" s="3"/>
      <c r="AQ114" s="3"/>
      <c r="AR114" s="3"/>
      <c r="AS114" s="6"/>
      <c r="AT114" s="6"/>
      <c r="AU114" s="3"/>
      <c r="AV114" s="3"/>
      <c r="AW114" s="3"/>
      <c r="AX114" s="3"/>
      <c r="BN114" s="3"/>
      <c r="BO114" s="3"/>
    </row>
    <row r="115" spans="1:67" s="4" customFormat="1" ht="26.4" x14ac:dyDescent="0.25">
      <c r="A115" s="80" t="s">
        <v>136</v>
      </c>
      <c r="B115" s="16" t="s">
        <v>5</v>
      </c>
      <c r="C115" s="65" t="s">
        <v>137</v>
      </c>
      <c r="D115" s="54">
        <f>SUM(D116:D116)</f>
        <v>37000</v>
      </c>
      <c r="E115" s="54">
        <f>SUM(E116:E116)</f>
        <v>38100</v>
      </c>
      <c r="F115" s="54">
        <f t="shared" si="15"/>
        <v>1100</v>
      </c>
      <c r="G115" s="125">
        <f t="shared" si="14"/>
        <v>102.97297297297297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22"/>
      <c r="X115" s="3"/>
      <c r="Y115" s="3"/>
      <c r="Z115" s="3"/>
      <c r="AA115" s="3"/>
      <c r="AD115" s="5"/>
      <c r="AE115" s="5"/>
      <c r="AF115" s="5"/>
      <c r="AG115" s="5"/>
      <c r="AH115" s="5"/>
      <c r="AI115" s="5"/>
      <c r="AJ115" s="3"/>
      <c r="AK115" s="3"/>
      <c r="AL115" s="3"/>
      <c r="AM115" s="3"/>
      <c r="AN115" s="3"/>
      <c r="AO115" s="3"/>
      <c r="AP115" s="3"/>
      <c r="AQ115" s="3"/>
      <c r="AR115" s="3"/>
      <c r="AS115" s="6"/>
      <c r="AT115" s="6"/>
      <c r="AU115" s="3"/>
      <c r="AV115" s="3"/>
      <c r="AW115" s="3"/>
      <c r="AX115" s="3"/>
      <c r="BN115" s="3"/>
      <c r="BO115" s="3"/>
    </row>
    <row r="116" spans="1:67" s="4" customFormat="1" ht="66" x14ac:dyDescent="0.25">
      <c r="A116" s="94" t="s">
        <v>464</v>
      </c>
      <c r="B116" s="16" t="s">
        <v>77</v>
      </c>
      <c r="C116" s="65" t="s">
        <v>138</v>
      </c>
      <c r="D116" s="54">
        <f>74106-1810-34296-1000</f>
        <v>37000</v>
      </c>
      <c r="E116" s="54">
        <v>38100</v>
      </c>
      <c r="F116" s="54">
        <f t="shared" si="15"/>
        <v>1100</v>
      </c>
      <c r="G116" s="125">
        <f t="shared" si="14"/>
        <v>102.97297297297297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22"/>
      <c r="X116" s="3"/>
      <c r="Y116" s="3"/>
      <c r="Z116" s="3"/>
      <c r="AA116" s="3"/>
      <c r="AD116" s="5"/>
      <c r="AE116" s="5"/>
      <c r="AF116" s="5"/>
      <c r="AG116" s="5"/>
      <c r="AH116" s="5"/>
      <c r="AI116" s="5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BN116" s="3"/>
      <c r="BO116" s="3"/>
    </row>
    <row r="117" spans="1:67" s="4" customFormat="1" x14ac:dyDescent="0.25">
      <c r="A117" s="80" t="s">
        <v>139</v>
      </c>
      <c r="B117" s="16" t="s">
        <v>5</v>
      </c>
      <c r="C117" s="17" t="s">
        <v>140</v>
      </c>
      <c r="D117" s="54">
        <f t="shared" ref="D117:E118" si="20">+D118</f>
        <v>97062738.400000006</v>
      </c>
      <c r="E117" s="54">
        <f t="shared" si="20"/>
        <v>96940381.670000002</v>
      </c>
      <c r="F117" s="54">
        <f t="shared" si="15"/>
        <v>-122356.73000000417</v>
      </c>
      <c r="G117" s="125">
        <f t="shared" si="14"/>
        <v>99.87394057491376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22"/>
      <c r="X117" s="3"/>
      <c r="Y117" s="3"/>
      <c r="Z117" s="3"/>
      <c r="AA117" s="3"/>
      <c r="AD117" s="5"/>
      <c r="AE117" s="5"/>
      <c r="AF117" s="5"/>
      <c r="AG117" s="5"/>
      <c r="AH117" s="5"/>
      <c r="AI117" s="5"/>
      <c r="AJ117" s="3"/>
      <c r="AK117" s="3"/>
      <c r="AL117" s="3"/>
      <c r="AM117" s="3"/>
      <c r="AN117" s="3"/>
      <c r="AO117" s="3"/>
      <c r="AP117" s="3"/>
      <c r="AQ117" s="3"/>
      <c r="AR117" s="3"/>
      <c r="AS117" s="6"/>
      <c r="AT117" s="6"/>
      <c r="AU117" s="3"/>
      <c r="AV117" s="3"/>
      <c r="AW117" s="3"/>
      <c r="AX117" s="3"/>
      <c r="BN117" s="3"/>
      <c r="BO117" s="3"/>
    </row>
    <row r="118" spans="1:67" s="4" customFormat="1" x14ac:dyDescent="0.25">
      <c r="A118" s="80" t="s">
        <v>141</v>
      </c>
      <c r="B118" s="16" t="s">
        <v>5</v>
      </c>
      <c r="C118" s="17" t="s">
        <v>142</v>
      </c>
      <c r="D118" s="54">
        <f>+D119</f>
        <v>97062738.400000006</v>
      </c>
      <c r="E118" s="54">
        <f t="shared" si="20"/>
        <v>96940381.670000002</v>
      </c>
      <c r="F118" s="54">
        <f t="shared" si="15"/>
        <v>-122356.73000000417</v>
      </c>
      <c r="G118" s="125">
        <f t="shared" si="14"/>
        <v>99.87394057491376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122"/>
      <c r="X118" s="3"/>
      <c r="Y118" s="3"/>
      <c r="Z118" s="3"/>
      <c r="AA118" s="3"/>
      <c r="AD118" s="5"/>
      <c r="AE118" s="5"/>
      <c r="AF118" s="5"/>
      <c r="AG118" s="5"/>
      <c r="AH118" s="5"/>
      <c r="AI118" s="5"/>
      <c r="AJ118" s="3"/>
      <c r="AK118" s="3"/>
      <c r="AL118" s="3"/>
      <c r="AM118" s="3"/>
      <c r="AN118" s="3"/>
      <c r="AO118" s="3"/>
      <c r="AP118" s="3"/>
      <c r="AQ118" s="3"/>
      <c r="AR118" s="3"/>
      <c r="AS118" s="6"/>
      <c r="AT118" s="6"/>
      <c r="AU118" s="3"/>
      <c r="AV118" s="3"/>
      <c r="AW118" s="3"/>
      <c r="AX118" s="3"/>
      <c r="BN118" s="3"/>
      <c r="BO118" s="3"/>
    </row>
    <row r="119" spans="1:67" s="4" customFormat="1" ht="26.4" x14ac:dyDescent="0.25">
      <c r="A119" s="80" t="s">
        <v>143</v>
      </c>
      <c r="B119" s="16" t="s">
        <v>5</v>
      </c>
      <c r="C119" s="17" t="s">
        <v>144</v>
      </c>
      <c r="D119" s="54">
        <f>+D128+D129+D127+D124+D123+D126+D125+D122+D121+D120</f>
        <v>97062738.400000006</v>
      </c>
      <c r="E119" s="54">
        <f>+E128+E129+E127+E124+E123+E126+E125+E122+E121+E120</f>
        <v>96940381.670000002</v>
      </c>
      <c r="F119" s="54">
        <f t="shared" si="15"/>
        <v>-122356.73000000417</v>
      </c>
      <c r="G119" s="125">
        <f t="shared" si="14"/>
        <v>99.87394057491376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22"/>
      <c r="X119" s="3"/>
      <c r="Y119" s="3"/>
      <c r="Z119" s="3"/>
      <c r="AA119" s="3"/>
      <c r="AD119" s="5"/>
      <c r="AE119" s="5"/>
      <c r="AF119" s="5"/>
      <c r="AG119" s="5"/>
      <c r="AH119" s="5"/>
      <c r="AI119" s="5"/>
      <c r="AJ119" s="3"/>
      <c r="AK119" s="3"/>
      <c r="AL119" s="3"/>
      <c r="AM119" s="3"/>
      <c r="AN119" s="3"/>
      <c r="AO119" s="3"/>
      <c r="AP119" s="3"/>
      <c r="AQ119" s="3"/>
      <c r="AR119" s="3"/>
      <c r="AS119" s="6"/>
      <c r="AT119" s="6"/>
      <c r="AU119" s="3"/>
      <c r="AV119" s="3"/>
      <c r="AW119" s="3"/>
      <c r="AX119" s="3"/>
      <c r="BN119" s="3"/>
      <c r="BO119" s="3"/>
    </row>
    <row r="120" spans="1:67" s="4" customFormat="1" ht="26.4" x14ac:dyDescent="0.25">
      <c r="A120" s="78" t="s">
        <v>143</v>
      </c>
      <c r="B120" s="16" t="s">
        <v>258</v>
      </c>
      <c r="C120" s="17" t="s">
        <v>144</v>
      </c>
      <c r="D120" s="54">
        <v>40359.25</v>
      </c>
      <c r="E120" s="54">
        <v>40359.25</v>
      </c>
      <c r="F120" s="54">
        <f t="shared" si="15"/>
        <v>0</v>
      </c>
      <c r="G120" s="125">
        <f t="shared" si="14"/>
        <v>100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22"/>
      <c r="X120" s="3"/>
      <c r="Y120" s="3"/>
      <c r="Z120" s="3"/>
      <c r="AA120" s="3"/>
      <c r="AD120" s="5"/>
      <c r="AE120" s="5"/>
      <c r="AF120" s="5"/>
      <c r="AG120" s="5"/>
      <c r="AH120" s="5"/>
      <c r="AI120" s="5"/>
      <c r="AJ120" s="3"/>
      <c r="AK120" s="3"/>
      <c r="AL120" s="3"/>
      <c r="AM120" s="3"/>
      <c r="AN120" s="3"/>
      <c r="AO120" s="3"/>
      <c r="AP120" s="3"/>
      <c r="AQ120" s="3"/>
      <c r="AR120" s="3"/>
      <c r="AS120" s="6"/>
      <c r="AT120" s="6"/>
      <c r="AU120" s="3"/>
      <c r="AV120" s="3"/>
      <c r="AW120" s="3"/>
      <c r="AX120" s="3"/>
      <c r="BN120" s="3"/>
      <c r="BO120" s="3"/>
    </row>
    <row r="121" spans="1:67" s="4" customFormat="1" ht="26.4" x14ac:dyDescent="0.25">
      <c r="A121" s="78" t="s">
        <v>143</v>
      </c>
      <c r="B121" s="16" t="s">
        <v>253</v>
      </c>
      <c r="C121" s="17" t="s">
        <v>144</v>
      </c>
      <c r="D121" s="54">
        <f>5000+15928</f>
        <v>20928</v>
      </c>
      <c r="E121" s="54">
        <f>5000+15928</f>
        <v>20928</v>
      </c>
      <c r="F121" s="54">
        <f t="shared" si="15"/>
        <v>0</v>
      </c>
      <c r="G121" s="125">
        <f t="shared" si="14"/>
        <v>100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22"/>
      <c r="X121" s="3"/>
      <c r="Y121" s="3"/>
      <c r="Z121" s="3"/>
      <c r="AA121" s="3"/>
      <c r="AD121" s="5"/>
      <c r="AE121" s="5"/>
      <c r="AF121" s="5"/>
      <c r="AG121" s="5"/>
      <c r="AH121" s="5"/>
      <c r="AI121" s="5"/>
      <c r="AJ121" s="3"/>
      <c r="AK121" s="3"/>
      <c r="AL121" s="3"/>
      <c r="AM121" s="3"/>
      <c r="AN121" s="3"/>
      <c r="AO121" s="3"/>
      <c r="AP121" s="3"/>
      <c r="AQ121" s="3"/>
      <c r="AR121" s="3"/>
      <c r="AS121" s="6"/>
      <c r="AT121" s="6"/>
      <c r="AU121" s="3"/>
      <c r="AV121" s="3"/>
      <c r="AW121" s="3"/>
      <c r="AX121" s="3"/>
      <c r="BN121" s="3"/>
      <c r="BO121" s="3"/>
    </row>
    <row r="122" spans="1:67" s="4" customFormat="1" ht="26.4" x14ac:dyDescent="0.25">
      <c r="A122" s="78" t="s">
        <v>143</v>
      </c>
      <c r="B122" s="16" t="s">
        <v>77</v>
      </c>
      <c r="C122" s="17" t="s">
        <v>144</v>
      </c>
      <c r="D122" s="68">
        <f>5324+18857-18857</f>
        <v>5324</v>
      </c>
      <c r="E122" s="68">
        <f>5324+18857-18857</f>
        <v>5324</v>
      </c>
      <c r="F122" s="54">
        <f t="shared" si="15"/>
        <v>0</v>
      </c>
      <c r="G122" s="125">
        <f t="shared" si="14"/>
        <v>100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22"/>
      <c r="X122" s="3"/>
      <c r="Y122" s="3"/>
      <c r="Z122" s="3"/>
      <c r="AA122" s="3"/>
      <c r="AD122" s="5"/>
      <c r="AE122" s="5"/>
      <c r="AF122" s="5"/>
      <c r="AG122" s="5"/>
      <c r="AH122" s="5"/>
      <c r="AI122" s="5"/>
      <c r="AJ122" s="3"/>
      <c r="AK122" s="3"/>
      <c r="AL122" s="3"/>
      <c r="AM122" s="3"/>
      <c r="AN122" s="3"/>
      <c r="AO122" s="3"/>
      <c r="AP122" s="3"/>
      <c r="AQ122" s="3"/>
      <c r="AR122" s="3"/>
      <c r="AS122" s="6"/>
      <c r="AT122" s="6"/>
      <c r="AU122" s="3"/>
      <c r="AV122" s="3"/>
      <c r="AW122" s="3"/>
      <c r="AX122" s="3"/>
      <c r="BN122" s="3"/>
      <c r="BO122" s="3"/>
    </row>
    <row r="123" spans="1:67" s="4" customFormat="1" ht="26.4" x14ac:dyDescent="0.25">
      <c r="A123" s="78" t="s">
        <v>143</v>
      </c>
      <c r="B123" s="16" t="s">
        <v>246</v>
      </c>
      <c r="C123" s="17" t="s">
        <v>144</v>
      </c>
      <c r="D123" s="68">
        <v>77012.479999999996</v>
      </c>
      <c r="E123" s="68">
        <v>77012.479999999996</v>
      </c>
      <c r="F123" s="54">
        <f t="shared" si="15"/>
        <v>0</v>
      </c>
      <c r="G123" s="125">
        <f t="shared" si="14"/>
        <v>100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22"/>
      <c r="X123" s="3"/>
      <c r="Y123" s="3"/>
      <c r="Z123" s="3"/>
      <c r="AA123" s="3"/>
      <c r="AD123" s="5"/>
      <c r="AE123" s="5"/>
      <c r="AF123" s="5"/>
      <c r="AG123" s="5"/>
      <c r="AH123" s="5"/>
      <c r="AI123" s="5"/>
      <c r="AJ123" s="3"/>
      <c r="AK123" s="3"/>
      <c r="AL123" s="3"/>
      <c r="AM123" s="3"/>
      <c r="AN123" s="3"/>
      <c r="AO123" s="3"/>
      <c r="AP123" s="3"/>
      <c r="AQ123" s="3"/>
      <c r="AR123" s="3"/>
      <c r="AS123" s="6"/>
      <c r="AT123" s="6"/>
      <c r="AU123" s="3"/>
      <c r="AV123" s="3"/>
      <c r="AW123" s="3"/>
      <c r="AX123" s="3"/>
      <c r="BN123" s="3"/>
      <c r="BO123" s="3"/>
    </row>
    <row r="124" spans="1:67" s="4" customFormat="1" ht="26.4" x14ac:dyDescent="0.25">
      <c r="A124" s="78" t="s">
        <v>143</v>
      </c>
      <c r="B124" s="16" t="s">
        <v>268</v>
      </c>
      <c r="C124" s="17" t="s">
        <v>144</v>
      </c>
      <c r="D124" s="68">
        <v>80302.95</v>
      </c>
      <c r="E124" s="68">
        <v>80302.95</v>
      </c>
      <c r="F124" s="54">
        <f t="shared" si="15"/>
        <v>0</v>
      </c>
      <c r="G124" s="125">
        <f t="shared" si="14"/>
        <v>100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22"/>
      <c r="X124" s="3"/>
      <c r="Y124" s="3"/>
      <c r="Z124" s="3"/>
      <c r="AA124" s="3"/>
      <c r="AD124" s="5"/>
      <c r="AE124" s="5"/>
      <c r="AF124" s="5"/>
      <c r="AG124" s="5"/>
      <c r="AH124" s="5"/>
      <c r="AI124" s="5"/>
      <c r="AJ124" s="3"/>
      <c r="AK124" s="3"/>
      <c r="AL124" s="3"/>
      <c r="AM124" s="3"/>
      <c r="AN124" s="3"/>
      <c r="AO124" s="3"/>
      <c r="AP124" s="3"/>
      <c r="AQ124" s="3"/>
      <c r="AR124" s="3"/>
      <c r="AS124" s="6"/>
      <c r="AT124" s="6"/>
      <c r="AU124" s="3"/>
      <c r="AV124" s="3"/>
      <c r="AW124" s="3"/>
      <c r="AX124" s="3"/>
      <c r="BN124" s="3"/>
      <c r="BO124" s="3"/>
    </row>
    <row r="125" spans="1:67" s="4" customFormat="1" ht="26.4" x14ac:dyDescent="0.25">
      <c r="A125" s="78" t="s">
        <v>143</v>
      </c>
      <c r="B125" s="16" t="s">
        <v>209</v>
      </c>
      <c r="C125" s="17" t="s">
        <v>144</v>
      </c>
      <c r="D125" s="112">
        <f>74.07+366408.21+3881.66</f>
        <v>370363.94</v>
      </c>
      <c r="E125" s="54">
        <v>409596.33</v>
      </c>
      <c r="F125" s="54">
        <f t="shared" si="15"/>
        <v>39232.390000000014</v>
      </c>
      <c r="G125" s="125">
        <f t="shared" si="14"/>
        <v>110.59292921443702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22"/>
      <c r="X125" s="3"/>
      <c r="Y125" s="3"/>
      <c r="Z125" s="3"/>
      <c r="AA125" s="3"/>
      <c r="AD125" s="5"/>
      <c r="AE125" s="5"/>
      <c r="AF125" s="5"/>
      <c r="AG125" s="5"/>
      <c r="AH125" s="5"/>
      <c r="AI125" s="5"/>
      <c r="AJ125" s="3"/>
      <c r="AK125" s="3"/>
      <c r="AL125" s="3"/>
      <c r="AM125" s="3"/>
      <c r="AN125" s="3"/>
      <c r="AO125" s="3"/>
      <c r="AP125" s="3"/>
      <c r="AQ125" s="3"/>
      <c r="AR125" s="3"/>
      <c r="AS125" s="6"/>
      <c r="AT125" s="6"/>
      <c r="AU125" s="3"/>
      <c r="AV125" s="3"/>
      <c r="AW125" s="3"/>
      <c r="AX125" s="3"/>
      <c r="BN125" s="3"/>
      <c r="BO125" s="3"/>
    </row>
    <row r="126" spans="1:67" s="4" customFormat="1" ht="26.4" x14ac:dyDescent="0.25">
      <c r="A126" s="78" t="s">
        <v>143</v>
      </c>
      <c r="B126" s="16" t="s">
        <v>443</v>
      </c>
      <c r="C126" s="17" t="s">
        <v>144</v>
      </c>
      <c r="D126" s="68">
        <f>525.97+224</f>
        <v>749.97</v>
      </c>
      <c r="E126" s="54">
        <v>4358.05</v>
      </c>
      <c r="F126" s="54">
        <f t="shared" si="15"/>
        <v>3608.08</v>
      </c>
      <c r="G126" s="125">
        <f t="shared" si="14"/>
        <v>581.09657719642121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22"/>
      <c r="X126" s="3"/>
      <c r="Y126" s="3"/>
      <c r="Z126" s="3"/>
      <c r="AA126" s="3"/>
      <c r="AD126" s="5"/>
      <c r="AE126" s="5"/>
      <c r="AF126" s="5"/>
      <c r="AG126" s="5"/>
      <c r="AH126" s="5"/>
      <c r="AI126" s="5"/>
      <c r="AJ126" s="3"/>
      <c r="AK126" s="3"/>
      <c r="AL126" s="3"/>
      <c r="AM126" s="3"/>
      <c r="AN126" s="3"/>
      <c r="AO126" s="3"/>
      <c r="AP126" s="3"/>
      <c r="AQ126" s="3"/>
      <c r="AR126" s="3"/>
      <c r="AS126" s="6"/>
      <c r="AT126" s="6"/>
      <c r="AU126" s="3"/>
      <c r="AV126" s="3"/>
      <c r="AW126" s="3"/>
      <c r="AX126" s="3"/>
      <c r="BN126" s="3"/>
      <c r="BO126" s="3"/>
    </row>
    <row r="127" spans="1:67" s="4" customFormat="1" ht="26.4" x14ac:dyDescent="0.25">
      <c r="A127" s="94" t="s">
        <v>364</v>
      </c>
      <c r="B127" s="16" t="s">
        <v>79</v>
      </c>
      <c r="C127" s="17" t="s">
        <v>144</v>
      </c>
      <c r="D127" s="54">
        <f>3390428.13+2906.5+350867.28</f>
        <v>3744201.91</v>
      </c>
      <c r="E127" s="54">
        <v>3744201.91</v>
      </c>
      <c r="F127" s="54">
        <f t="shared" si="15"/>
        <v>0</v>
      </c>
      <c r="G127" s="125">
        <f t="shared" si="14"/>
        <v>100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22"/>
      <c r="X127" s="3"/>
      <c r="Y127" s="3"/>
      <c r="Z127" s="3"/>
      <c r="AA127" s="3"/>
      <c r="AD127" s="5"/>
      <c r="AE127" s="5"/>
      <c r="AF127" s="5"/>
      <c r="AG127" s="5"/>
      <c r="AH127" s="5"/>
      <c r="AI127" s="5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BN127" s="3"/>
      <c r="BO127" s="3"/>
    </row>
    <row r="128" spans="1:67" s="4" customFormat="1" ht="39.6" x14ac:dyDescent="0.25">
      <c r="A128" s="78" t="s">
        <v>145</v>
      </c>
      <c r="B128" s="16" t="s">
        <v>79</v>
      </c>
      <c r="C128" s="17" t="s">
        <v>146</v>
      </c>
      <c r="D128" s="54">
        <f>787000+89135196+1891299.9</f>
        <v>91813495.900000006</v>
      </c>
      <c r="E128" s="54">
        <v>91813495.900000006</v>
      </c>
      <c r="F128" s="54">
        <f t="shared" si="15"/>
        <v>0</v>
      </c>
      <c r="G128" s="125">
        <f t="shared" si="14"/>
        <v>100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22"/>
      <c r="X128" s="3"/>
      <c r="Y128" s="3"/>
      <c r="Z128" s="3"/>
      <c r="AA128" s="3"/>
      <c r="AD128" s="5"/>
      <c r="AE128" s="5"/>
      <c r="AF128" s="5"/>
      <c r="AG128" s="5"/>
      <c r="AH128" s="5"/>
      <c r="AI128" s="5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N128" s="3"/>
      <c r="BO128" s="3"/>
    </row>
    <row r="129" spans="1:67" s="4" customFormat="1" ht="26.4" x14ac:dyDescent="0.25">
      <c r="A129" s="94" t="s">
        <v>147</v>
      </c>
      <c r="B129" s="16" t="s">
        <v>79</v>
      </c>
      <c r="C129" s="17" t="s">
        <v>148</v>
      </c>
      <c r="D129" s="54">
        <v>910000</v>
      </c>
      <c r="E129" s="54">
        <v>744802.8</v>
      </c>
      <c r="F129" s="54">
        <f t="shared" si="15"/>
        <v>-165197.19999999995</v>
      </c>
      <c r="G129" s="125">
        <f t="shared" si="14"/>
        <v>81.84646153846154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22"/>
      <c r="X129" s="3"/>
      <c r="Y129" s="3"/>
      <c r="Z129" s="3"/>
      <c r="AA129" s="3"/>
      <c r="AD129" s="5"/>
      <c r="AE129" s="5"/>
      <c r="AF129" s="5"/>
      <c r="AG129" s="5"/>
      <c r="AH129" s="5"/>
      <c r="AI129" s="5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BN129" s="3"/>
      <c r="BO129" s="3"/>
    </row>
    <row r="130" spans="1:67" s="23" customFormat="1" ht="26.4" x14ac:dyDescent="0.25">
      <c r="A130" s="80" t="s">
        <v>149</v>
      </c>
      <c r="B130" s="16" t="s">
        <v>5</v>
      </c>
      <c r="C130" s="17" t="s">
        <v>150</v>
      </c>
      <c r="D130" s="54">
        <f>+D131+D137+D134</f>
        <v>16094537.92</v>
      </c>
      <c r="E130" s="54">
        <f>+E131+E137+E134</f>
        <v>16797300.420000002</v>
      </c>
      <c r="F130" s="54">
        <f t="shared" si="15"/>
        <v>702762.50000000186</v>
      </c>
      <c r="G130" s="125">
        <f t="shared" si="14"/>
        <v>104.36646583762253</v>
      </c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3"/>
      <c r="V130" s="3"/>
      <c r="W130" s="122"/>
      <c r="X130" s="3"/>
      <c r="Y130" s="3"/>
      <c r="Z130" s="22"/>
      <c r="AA130" s="22"/>
      <c r="AD130" s="21"/>
      <c r="AE130" s="21"/>
      <c r="AF130" s="21"/>
      <c r="AG130" s="21"/>
      <c r="AH130" s="21"/>
      <c r="AI130" s="21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BN130" s="22"/>
      <c r="BO130" s="22"/>
    </row>
    <row r="131" spans="1:67" s="4" customFormat="1" ht="66" x14ac:dyDescent="0.25">
      <c r="A131" s="80" t="s">
        <v>151</v>
      </c>
      <c r="B131" s="32" t="s">
        <v>5</v>
      </c>
      <c r="C131" s="32" t="s">
        <v>152</v>
      </c>
      <c r="D131" s="54">
        <f t="shared" ref="D131:E132" si="21">+D132</f>
        <v>4628000</v>
      </c>
      <c r="E131" s="54">
        <f t="shared" si="21"/>
        <v>4832000.16</v>
      </c>
      <c r="F131" s="54">
        <f t="shared" si="15"/>
        <v>204000.16000000015</v>
      </c>
      <c r="G131" s="125">
        <f t="shared" si="14"/>
        <v>104.40795505617977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22"/>
      <c r="X131" s="3"/>
      <c r="Y131" s="3"/>
      <c r="Z131" s="3"/>
      <c r="AA131" s="3"/>
      <c r="AD131" s="5"/>
      <c r="AE131" s="5"/>
      <c r="AF131" s="5"/>
      <c r="AG131" s="5"/>
      <c r="AH131" s="5"/>
      <c r="AI131" s="5"/>
      <c r="AJ131" s="3"/>
      <c r="AK131" s="3"/>
      <c r="AL131" s="3"/>
      <c r="AM131" s="3"/>
      <c r="AN131" s="3"/>
      <c r="AO131" s="3"/>
      <c r="AP131" s="3"/>
      <c r="AQ131" s="3"/>
      <c r="AR131" s="3"/>
      <c r="AS131" s="6"/>
      <c r="AT131" s="6"/>
      <c r="AU131" s="3"/>
      <c r="AV131" s="3"/>
      <c r="AW131" s="3"/>
      <c r="AX131" s="3"/>
      <c r="BN131" s="3"/>
      <c r="BO131" s="3"/>
    </row>
    <row r="132" spans="1:67" s="4" customFormat="1" ht="79.2" x14ac:dyDescent="0.25">
      <c r="A132" s="80" t="s">
        <v>153</v>
      </c>
      <c r="B132" s="32" t="s">
        <v>5</v>
      </c>
      <c r="C132" s="32" t="s">
        <v>154</v>
      </c>
      <c r="D132" s="54">
        <f t="shared" si="21"/>
        <v>4628000</v>
      </c>
      <c r="E132" s="54">
        <f t="shared" si="21"/>
        <v>4832000.16</v>
      </c>
      <c r="F132" s="54">
        <f t="shared" si="15"/>
        <v>204000.16000000015</v>
      </c>
      <c r="G132" s="125">
        <f t="shared" si="14"/>
        <v>104.40795505617977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22"/>
      <c r="X132" s="3"/>
      <c r="Y132" s="3"/>
      <c r="Z132" s="3"/>
      <c r="AA132" s="3"/>
      <c r="AD132" s="5"/>
      <c r="AE132" s="5"/>
      <c r="AF132" s="5"/>
      <c r="AG132" s="5"/>
      <c r="AH132" s="5"/>
      <c r="AI132" s="5"/>
      <c r="AJ132" s="3"/>
      <c r="AK132" s="3"/>
      <c r="AL132" s="3"/>
      <c r="AM132" s="3"/>
      <c r="AN132" s="3"/>
      <c r="AO132" s="3"/>
      <c r="AP132" s="3"/>
      <c r="AQ132" s="3"/>
      <c r="AR132" s="3"/>
      <c r="AS132" s="6"/>
      <c r="AT132" s="6"/>
      <c r="AU132" s="3"/>
      <c r="AV132" s="3"/>
      <c r="AW132" s="3"/>
      <c r="AX132" s="3"/>
      <c r="BN132" s="3"/>
      <c r="BO132" s="3"/>
    </row>
    <row r="133" spans="1:67" s="4" customFormat="1" ht="79.2" x14ac:dyDescent="0.25">
      <c r="A133" s="80" t="s">
        <v>317</v>
      </c>
      <c r="B133" s="32" t="s">
        <v>77</v>
      </c>
      <c r="C133" s="32" t="s">
        <v>316</v>
      </c>
      <c r="D133" s="54">
        <v>4628000</v>
      </c>
      <c r="E133" s="54">
        <v>4832000.16</v>
      </c>
      <c r="F133" s="54">
        <f t="shared" si="15"/>
        <v>204000.16000000015</v>
      </c>
      <c r="G133" s="125">
        <f t="shared" si="14"/>
        <v>104.40795505617977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22"/>
      <c r="X133" s="3"/>
      <c r="Y133" s="3"/>
      <c r="Z133" s="3"/>
      <c r="AA133" s="3"/>
      <c r="AD133" s="5"/>
      <c r="AE133" s="5"/>
      <c r="AF133" s="5"/>
      <c r="AG133" s="5"/>
      <c r="AH133" s="5"/>
      <c r="AI133" s="5"/>
      <c r="AJ133" s="3"/>
      <c r="AK133" s="3"/>
      <c r="AL133" s="3"/>
      <c r="AM133" s="3"/>
      <c r="AN133" s="3"/>
      <c r="AO133" s="3"/>
      <c r="AP133" s="3"/>
      <c r="AQ133" s="3"/>
      <c r="AR133" s="3"/>
      <c r="AS133" s="6"/>
      <c r="AT133" s="6"/>
      <c r="AU133" s="3"/>
      <c r="AV133" s="3"/>
      <c r="AW133" s="3"/>
      <c r="AX133" s="3"/>
      <c r="BN133" s="3"/>
      <c r="BO133" s="3"/>
    </row>
    <row r="134" spans="1:67" s="4" customFormat="1" ht="39.6" x14ac:dyDescent="0.25">
      <c r="A134" s="81" t="s">
        <v>472</v>
      </c>
      <c r="B134" s="32" t="s">
        <v>5</v>
      </c>
      <c r="C134" s="71" t="s">
        <v>474</v>
      </c>
      <c r="D134" s="54">
        <f>D135</f>
        <v>755637.92</v>
      </c>
      <c r="E134" s="54">
        <f>E135</f>
        <v>755637.92</v>
      </c>
      <c r="F134" s="54">
        <f t="shared" si="15"/>
        <v>0</v>
      </c>
      <c r="G134" s="125">
        <f t="shared" si="14"/>
        <v>100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22"/>
      <c r="X134" s="3"/>
      <c r="Y134" s="3"/>
      <c r="Z134" s="3"/>
      <c r="AA134" s="3"/>
      <c r="AD134" s="5"/>
      <c r="AE134" s="5"/>
      <c r="AF134" s="5"/>
      <c r="AG134" s="5"/>
      <c r="AH134" s="5"/>
      <c r="AI134" s="5"/>
      <c r="AJ134" s="3"/>
      <c r="AK134" s="3"/>
      <c r="AL134" s="3"/>
      <c r="AM134" s="3"/>
      <c r="AN134" s="3"/>
      <c r="AO134" s="3"/>
      <c r="AP134" s="3"/>
      <c r="AQ134" s="3"/>
      <c r="AR134" s="3"/>
      <c r="AS134" s="6"/>
      <c r="AT134" s="6"/>
      <c r="AU134" s="3"/>
      <c r="AV134" s="3"/>
      <c r="AW134" s="3"/>
      <c r="AX134" s="3"/>
      <c r="BN134" s="3"/>
      <c r="BO134" s="3"/>
    </row>
    <row r="135" spans="1:67" s="4" customFormat="1" ht="39.6" x14ac:dyDescent="0.25">
      <c r="A135" s="81" t="s">
        <v>473</v>
      </c>
      <c r="B135" s="32" t="s">
        <v>5</v>
      </c>
      <c r="C135" s="71" t="s">
        <v>577</v>
      </c>
      <c r="D135" s="54">
        <f>D136</f>
        <v>755637.92</v>
      </c>
      <c r="E135" s="54">
        <f>E136</f>
        <v>755637.92</v>
      </c>
      <c r="F135" s="54">
        <f t="shared" si="15"/>
        <v>0</v>
      </c>
      <c r="G135" s="125">
        <f t="shared" ref="G135:G198" si="22">E135/D135*100</f>
        <v>100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22"/>
      <c r="X135" s="3"/>
      <c r="Y135" s="3"/>
      <c r="Z135" s="3"/>
      <c r="AA135" s="3"/>
      <c r="AD135" s="5"/>
      <c r="AE135" s="5"/>
      <c r="AF135" s="5"/>
      <c r="AG135" s="5"/>
      <c r="AH135" s="5"/>
      <c r="AI135" s="5"/>
      <c r="AJ135" s="3"/>
      <c r="AK135" s="3"/>
      <c r="AL135" s="3"/>
      <c r="AM135" s="3"/>
      <c r="AN135" s="3"/>
      <c r="AO135" s="3"/>
      <c r="AP135" s="3"/>
      <c r="AQ135" s="3"/>
      <c r="AR135" s="3"/>
      <c r="AS135" s="6"/>
      <c r="AT135" s="6"/>
      <c r="AU135" s="3"/>
      <c r="AV135" s="3"/>
      <c r="AW135" s="3"/>
      <c r="AX135" s="3"/>
      <c r="BN135" s="3"/>
      <c r="BO135" s="3"/>
    </row>
    <row r="136" spans="1:67" s="4" customFormat="1" ht="39.6" x14ac:dyDescent="0.25">
      <c r="A136" s="81" t="s">
        <v>473</v>
      </c>
      <c r="B136" s="32" t="s">
        <v>79</v>
      </c>
      <c r="C136" s="71" t="s">
        <v>525</v>
      </c>
      <c r="D136" s="54">
        <v>755637.92</v>
      </c>
      <c r="E136" s="54">
        <v>755637.92</v>
      </c>
      <c r="F136" s="54">
        <f t="shared" ref="F136:F199" si="23">+E136-D136</f>
        <v>0</v>
      </c>
      <c r="G136" s="125">
        <f t="shared" si="22"/>
        <v>100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22"/>
      <c r="X136" s="3"/>
      <c r="Y136" s="3"/>
      <c r="Z136" s="3"/>
      <c r="AA136" s="3"/>
      <c r="AD136" s="5"/>
      <c r="AE136" s="5"/>
      <c r="AF136" s="5"/>
      <c r="AG136" s="5"/>
      <c r="AH136" s="5"/>
      <c r="AI136" s="5"/>
      <c r="AJ136" s="3"/>
      <c r="AK136" s="3"/>
      <c r="AL136" s="3"/>
      <c r="AM136" s="3"/>
      <c r="AN136" s="3"/>
      <c r="AO136" s="3"/>
      <c r="AP136" s="3"/>
      <c r="AQ136" s="3"/>
      <c r="AR136" s="3"/>
      <c r="AS136" s="6"/>
      <c r="AT136" s="6"/>
      <c r="AU136" s="3"/>
      <c r="AV136" s="3"/>
      <c r="AW136" s="3"/>
      <c r="AX136" s="3"/>
      <c r="BN136" s="3"/>
      <c r="BO136" s="3"/>
    </row>
    <row r="137" spans="1:67" s="4" customFormat="1" ht="26.4" x14ac:dyDescent="0.25">
      <c r="A137" s="80" t="s">
        <v>155</v>
      </c>
      <c r="B137" s="32" t="s">
        <v>5</v>
      </c>
      <c r="C137" s="70" t="s">
        <v>156</v>
      </c>
      <c r="D137" s="54">
        <f>+D138+D140</f>
        <v>10710900</v>
      </c>
      <c r="E137" s="54">
        <f>+E138+E140</f>
        <v>11209662.34</v>
      </c>
      <c r="F137" s="54">
        <f t="shared" si="23"/>
        <v>498762.33999999985</v>
      </c>
      <c r="G137" s="125">
        <f t="shared" si="22"/>
        <v>104.65658665471622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22"/>
      <c r="X137" s="3"/>
      <c r="Y137" s="3"/>
      <c r="Z137" s="3"/>
      <c r="AA137" s="3"/>
      <c r="AD137" s="5"/>
      <c r="AE137" s="5"/>
      <c r="AF137" s="5"/>
      <c r="AG137" s="5"/>
      <c r="AH137" s="5"/>
      <c r="AI137" s="5"/>
      <c r="AJ137" s="3"/>
      <c r="AK137" s="3"/>
      <c r="AL137" s="3"/>
      <c r="AM137" s="3"/>
      <c r="AN137" s="3"/>
      <c r="AO137" s="3"/>
      <c r="AP137" s="3"/>
      <c r="AQ137" s="3"/>
      <c r="AR137" s="3"/>
      <c r="AS137" s="6"/>
      <c r="AT137" s="6"/>
      <c r="AU137" s="3"/>
      <c r="AV137" s="3"/>
      <c r="AW137" s="3"/>
      <c r="AX137" s="3"/>
      <c r="BN137" s="3"/>
      <c r="BO137" s="3"/>
    </row>
    <row r="138" spans="1:67" s="4" customFormat="1" ht="26.4" x14ac:dyDescent="0.25">
      <c r="A138" s="80" t="s">
        <v>157</v>
      </c>
      <c r="B138" s="32" t="s">
        <v>5</v>
      </c>
      <c r="C138" s="70" t="s">
        <v>158</v>
      </c>
      <c r="D138" s="54">
        <f>+D139</f>
        <v>7900900</v>
      </c>
      <c r="E138" s="54">
        <f>+E139</f>
        <v>8083605.9800000004</v>
      </c>
      <c r="F138" s="54">
        <f t="shared" si="23"/>
        <v>182705.98000000045</v>
      </c>
      <c r="G138" s="125">
        <f t="shared" si="22"/>
        <v>102.31247047804682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22"/>
      <c r="X138" s="3"/>
      <c r="Y138" s="3"/>
      <c r="Z138" s="3"/>
      <c r="AA138" s="3"/>
      <c r="AD138" s="5"/>
      <c r="AE138" s="5"/>
      <c r="AF138" s="5"/>
      <c r="AG138" s="5"/>
      <c r="AH138" s="5"/>
      <c r="AI138" s="5"/>
      <c r="AJ138" s="3"/>
      <c r="AK138" s="3"/>
      <c r="AL138" s="3"/>
      <c r="AM138" s="3"/>
      <c r="AN138" s="3"/>
      <c r="AO138" s="3"/>
      <c r="AP138" s="3"/>
      <c r="AQ138" s="3"/>
      <c r="AR138" s="3"/>
      <c r="AS138" s="6"/>
      <c r="AT138" s="6"/>
      <c r="AU138" s="3"/>
      <c r="AV138" s="3"/>
      <c r="AW138" s="3"/>
      <c r="AX138" s="3"/>
      <c r="BN138" s="3"/>
      <c r="BO138" s="3"/>
    </row>
    <row r="139" spans="1:67" s="4" customFormat="1" ht="39.6" x14ac:dyDescent="0.25">
      <c r="A139" s="80" t="s">
        <v>159</v>
      </c>
      <c r="B139" s="32" t="s">
        <v>77</v>
      </c>
      <c r="C139" s="70" t="s">
        <v>160</v>
      </c>
      <c r="D139" s="54">
        <f>3245890+1500000+2010000+791010+354000</f>
        <v>7900900</v>
      </c>
      <c r="E139" s="54">
        <v>8083605.9800000004</v>
      </c>
      <c r="F139" s="54">
        <f t="shared" si="23"/>
        <v>182705.98000000045</v>
      </c>
      <c r="G139" s="125">
        <f t="shared" si="22"/>
        <v>102.31247047804682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3"/>
      <c r="X139" s="3"/>
      <c r="Y139" s="3"/>
      <c r="Z139" s="3"/>
      <c r="AA139" s="3"/>
      <c r="AD139" s="5"/>
      <c r="AE139" s="5"/>
      <c r="AF139" s="5"/>
      <c r="AG139" s="5"/>
      <c r="AH139" s="5"/>
      <c r="AI139" s="5"/>
      <c r="AJ139" s="3"/>
      <c r="AK139" s="3"/>
      <c r="AL139" s="3"/>
      <c r="AM139" s="3"/>
      <c r="AN139" s="3"/>
      <c r="AO139" s="3"/>
      <c r="AP139" s="3"/>
      <c r="AQ139" s="3"/>
      <c r="AR139" s="3"/>
      <c r="AS139" s="6"/>
      <c r="AT139" s="6"/>
      <c r="AU139" s="3"/>
      <c r="AV139" s="3"/>
      <c r="AW139" s="3"/>
      <c r="AX139" s="3"/>
      <c r="BN139" s="3"/>
      <c r="BO139" s="3"/>
    </row>
    <row r="140" spans="1:67" s="4" customFormat="1" ht="39.6" x14ac:dyDescent="0.25">
      <c r="A140" s="80" t="s">
        <v>161</v>
      </c>
      <c r="B140" s="32" t="s">
        <v>5</v>
      </c>
      <c r="C140" s="70" t="s">
        <v>162</v>
      </c>
      <c r="D140" s="54">
        <f>+D141</f>
        <v>2810000</v>
      </c>
      <c r="E140" s="54">
        <f>+E141</f>
        <v>3126056.36</v>
      </c>
      <c r="F140" s="54">
        <f t="shared" si="23"/>
        <v>316056.35999999987</v>
      </c>
      <c r="G140" s="125">
        <f t="shared" si="22"/>
        <v>111.24755729537365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22"/>
      <c r="X140" s="3"/>
      <c r="Y140" s="3"/>
      <c r="Z140" s="3"/>
      <c r="AA140" s="3"/>
      <c r="AD140" s="5"/>
      <c r="AE140" s="5"/>
      <c r="AF140" s="5"/>
      <c r="AG140" s="5"/>
      <c r="AH140" s="5"/>
      <c r="AI140" s="5"/>
      <c r="AJ140" s="3"/>
      <c r="AK140" s="3"/>
      <c r="AL140" s="3"/>
      <c r="AM140" s="3"/>
      <c r="AN140" s="3"/>
      <c r="AO140" s="3"/>
      <c r="AP140" s="3"/>
      <c r="AQ140" s="3"/>
      <c r="AR140" s="3"/>
      <c r="AS140" s="6"/>
      <c r="AT140" s="6"/>
      <c r="AU140" s="3"/>
      <c r="AV140" s="3"/>
      <c r="AW140" s="3"/>
      <c r="AX140" s="3"/>
      <c r="BN140" s="3"/>
      <c r="BO140" s="3"/>
    </row>
    <row r="141" spans="1:67" s="4" customFormat="1" ht="43.5" customHeight="1" x14ac:dyDescent="0.25">
      <c r="A141" s="80" t="s">
        <v>163</v>
      </c>
      <c r="B141" s="32" t="s">
        <v>77</v>
      </c>
      <c r="C141" s="70" t="s">
        <v>164</v>
      </c>
      <c r="D141" s="54">
        <f>2407672+182328+220000</f>
        <v>2810000</v>
      </c>
      <c r="E141" s="54">
        <v>3126056.36</v>
      </c>
      <c r="F141" s="54">
        <f t="shared" si="23"/>
        <v>316056.35999999987</v>
      </c>
      <c r="G141" s="125">
        <f t="shared" si="22"/>
        <v>111.24755729537365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22"/>
      <c r="X141" s="3"/>
      <c r="Y141" s="3"/>
      <c r="Z141" s="3"/>
      <c r="AA141" s="3"/>
      <c r="AD141" s="5"/>
      <c r="AE141" s="5"/>
      <c r="AF141" s="5"/>
      <c r="AG141" s="5"/>
      <c r="AH141" s="5"/>
      <c r="AI141" s="5"/>
      <c r="AJ141" s="3"/>
      <c r="AK141" s="3"/>
      <c r="AL141" s="3"/>
      <c r="AM141" s="3"/>
      <c r="AN141" s="3"/>
      <c r="AO141" s="3"/>
      <c r="AP141" s="3"/>
      <c r="AQ141" s="3"/>
      <c r="AR141" s="3"/>
      <c r="AS141" s="6"/>
      <c r="AT141" s="6"/>
      <c r="AU141" s="3"/>
      <c r="AV141" s="3"/>
      <c r="AW141" s="3"/>
      <c r="AX141" s="3"/>
      <c r="BN141" s="3"/>
      <c r="BO141" s="3"/>
    </row>
    <row r="142" spans="1:67" s="4" customFormat="1" x14ac:dyDescent="0.25">
      <c r="A142" s="80" t="s">
        <v>165</v>
      </c>
      <c r="B142" s="16" t="s">
        <v>5</v>
      </c>
      <c r="C142" s="17" t="s">
        <v>166</v>
      </c>
      <c r="D142" s="54">
        <f>+D143+D177+D179+D205+D190+D209</f>
        <v>12956558.439999999</v>
      </c>
      <c r="E142" s="54">
        <f>+E143+E177+E179+E205+E190+E209</f>
        <v>9753248.7400000002</v>
      </c>
      <c r="F142" s="54">
        <f t="shared" si="23"/>
        <v>-3203309.6999999993</v>
      </c>
      <c r="G142" s="125">
        <f t="shared" si="22"/>
        <v>75.2765387904969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22"/>
      <c r="X142" s="3"/>
      <c r="Y142" s="3"/>
      <c r="Z142" s="3"/>
      <c r="AA142" s="3"/>
      <c r="AD142" s="5"/>
      <c r="AE142" s="5"/>
      <c r="AF142" s="5"/>
      <c r="AG142" s="5"/>
      <c r="AH142" s="5"/>
      <c r="AI142" s="5"/>
      <c r="AJ142" s="3"/>
      <c r="AK142" s="3"/>
      <c r="AL142" s="3"/>
      <c r="AM142" s="3"/>
      <c r="AN142" s="3"/>
      <c r="AO142" s="3"/>
      <c r="AP142" s="3"/>
      <c r="AQ142" s="34"/>
      <c r="AR142" s="3"/>
      <c r="AS142" s="6"/>
      <c r="AT142" s="6"/>
      <c r="AU142" s="3"/>
      <c r="AV142" s="3"/>
      <c r="AW142" s="3"/>
      <c r="AX142" s="3"/>
      <c r="BN142" s="3"/>
      <c r="BO142" s="3"/>
    </row>
    <row r="143" spans="1:67" s="4" customFormat="1" ht="26.4" x14ac:dyDescent="0.25">
      <c r="A143" s="80" t="s">
        <v>167</v>
      </c>
      <c r="B143" s="16" t="s">
        <v>5</v>
      </c>
      <c r="C143" s="17" t="s">
        <v>168</v>
      </c>
      <c r="D143" s="54">
        <f>+D144+D147+D150+D165+D171+D174+D153+D163+D169+D167+D155+D157+D159+D161</f>
        <v>4410859.49</v>
      </c>
      <c r="E143" s="54">
        <f>+E144+E147+E150+E165+E171+E174+E153+E163+E169+E167+E155+E157+E159+E161</f>
        <v>2045864.13</v>
      </c>
      <c r="F143" s="54">
        <f t="shared" si="23"/>
        <v>-2364995.3600000003</v>
      </c>
      <c r="G143" s="125">
        <f t="shared" si="22"/>
        <v>46.382437133584588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22"/>
      <c r="X143" s="3"/>
      <c r="Y143" s="3"/>
      <c r="Z143" s="3"/>
      <c r="AA143" s="3"/>
      <c r="AD143" s="5"/>
      <c r="AE143" s="5"/>
      <c r="AF143" s="5"/>
      <c r="AG143" s="5"/>
      <c r="AH143" s="5"/>
      <c r="AI143" s="5"/>
      <c r="AJ143" s="3"/>
      <c r="AK143" s="3"/>
      <c r="AL143" s="3"/>
      <c r="AM143" s="3"/>
      <c r="AN143" s="3"/>
      <c r="AO143" s="3"/>
      <c r="AP143" s="3"/>
      <c r="AQ143" s="3"/>
      <c r="AR143" s="3"/>
      <c r="AS143" s="6"/>
      <c r="AT143" s="6"/>
      <c r="AU143" s="3"/>
      <c r="AV143" s="3"/>
      <c r="AW143" s="3"/>
      <c r="AX143" s="3"/>
      <c r="BN143" s="3"/>
      <c r="BO143" s="3"/>
    </row>
    <row r="144" spans="1:67" s="4" customFormat="1" ht="47.4" customHeight="1" x14ac:dyDescent="0.25">
      <c r="A144" s="80" t="s">
        <v>169</v>
      </c>
      <c r="B144" s="16" t="s">
        <v>5</v>
      </c>
      <c r="C144" s="65" t="s">
        <v>170</v>
      </c>
      <c r="D144" s="54">
        <f>+D145+D146</f>
        <v>47000</v>
      </c>
      <c r="E144" s="54">
        <f t="shared" ref="E144" si="24">+E145+E146</f>
        <v>45367.44</v>
      </c>
      <c r="F144" s="54">
        <f t="shared" si="23"/>
        <v>-1632.5599999999977</v>
      </c>
      <c r="G144" s="125">
        <f t="shared" si="22"/>
        <v>96.526468085106387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22"/>
      <c r="X144" s="3"/>
      <c r="Y144" s="3"/>
      <c r="Z144" s="3"/>
      <c r="AA144" s="3"/>
      <c r="AD144" s="5"/>
      <c r="AE144" s="5"/>
      <c r="AF144" s="5"/>
      <c r="AG144" s="5"/>
      <c r="AH144" s="5"/>
      <c r="AI144" s="5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BN144" s="3"/>
      <c r="BO144" s="3"/>
    </row>
    <row r="145" spans="1:67" s="4" customFormat="1" ht="66" x14ac:dyDescent="0.25">
      <c r="A145" s="80" t="s">
        <v>171</v>
      </c>
      <c r="B145" s="16" t="s">
        <v>172</v>
      </c>
      <c r="C145" s="65" t="s">
        <v>173</v>
      </c>
      <c r="D145" s="54">
        <f>19730+5270</f>
        <v>25000</v>
      </c>
      <c r="E145" s="54">
        <v>23440.65</v>
      </c>
      <c r="F145" s="54">
        <f t="shared" si="23"/>
        <v>-1559.3499999999985</v>
      </c>
      <c r="G145" s="125">
        <f t="shared" si="22"/>
        <v>93.762600000000006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22"/>
      <c r="X145" s="3"/>
      <c r="Y145" s="3"/>
      <c r="Z145" s="3"/>
      <c r="AA145" s="3"/>
      <c r="AD145" s="5"/>
      <c r="AE145" s="5"/>
      <c r="AF145" s="5"/>
      <c r="AG145" s="5"/>
      <c r="AH145" s="5"/>
      <c r="AI145" s="5"/>
      <c r="AJ145" s="3"/>
      <c r="AK145" s="3"/>
      <c r="AL145" s="3"/>
      <c r="AM145" s="3"/>
      <c r="AN145" s="35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BN145" s="3"/>
      <c r="BO145" s="3"/>
    </row>
    <row r="146" spans="1:67" s="4" customFormat="1" ht="66" x14ac:dyDescent="0.25">
      <c r="A146" s="80" t="s">
        <v>171</v>
      </c>
      <c r="B146" s="16" t="s">
        <v>174</v>
      </c>
      <c r="C146" s="65" t="s">
        <v>173</v>
      </c>
      <c r="D146" s="54">
        <f>12760+9240</f>
        <v>22000</v>
      </c>
      <c r="E146" s="54">
        <v>21926.79</v>
      </c>
      <c r="F146" s="54">
        <f t="shared" si="23"/>
        <v>-73.209999999999127</v>
      </c>
      <c r="G146" s="125">
        <f t="shared" si="22"/>
        <v>99.667227272727274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22"/>
      <c r="X146" s="3"/>
      <c r="Y146" s="3"/>
      <c r="Z146" s="3"/>
      <c r="AA146" s="3"/>
      <c r="AD146" s="5"/>
      <c r="AE146" s="5"/>
      <c r="AF146" s="5"/>
      <c r="AG146" s="5"/>
      <c r="AH146" s="5"/>
      <c r="AI146" s="5"/>
      <c r="AJ146" s="3"/>
      <c r="AK146" s="3"/>
      <c r="AL146" s="3"/>
      <c r="AM146" s="3"/>
      <c r="AN146" s="35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BN146" s="3"/>
      <c r="BO146" s="3"/>
    </row>
    <row r="147" spans="1:67" s="4" customFormat="1" ht="66" x14ac:dyDescent="0.25">
      <c r="A147" s="80" t="s">
        <v>175</v>
      </c>
      <c r="B147" s="16" t="s">
        <v>5</v>
      </c>
      <c r="C147" s="65" t="s">
        <v>176</v>
      </c>
      <c r="D147" s="54">
        <f>+D148+D149</f>
        <v>406140</v>
      </c>
      <c r="E147" s="54">
        <f t="shared" ref="E147" si="25">+E148+E149</f>
        <v>307415.74</v>
      </c>
      <c r="F147" s="54">
        <f t="shared" si="23"/>
        <v>-98724.260000000009</v>
      </c>
      <c r="G147" s="125">
        <f t="shared" si="22"/>
        <v>75.69206185059339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22"/>
      <c r="X147" s="3"/>
      <c r="Y147" s="3"/>
      <c r="Z147" s="3"/>
      <c r="AA147" s="3"/>
      <c r="AD147" s="5"/>
      <c r="AE147" s="5"/>
      <c r="AF147" s="5"/>
      <c r="AG147" s="5"/>
      <c r="AH147" s="5"/>
      <c r="AI147" s="5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BN147" s="3"/>
      <c r="BO147" s="3"/>
    </row>
    <row r="148" spans="1:67" s="4" customFormat="1" ht="83.4" customHeight="1" x14ac:dyDescent="0.25">
      <c r="A148" s="80" t="s">
        <v>177</v>
      </c>
      <c r="B148" s="16" t="s">
        <v>172</v>
      </c>
      <c r="C148" s="65" t="s">
        <v>178</v>
      </c>
      <c r="D148" s="54">
        <f>16380-10240</f>
        <v>6140</v>
      </c>
      <c r="E148" s="54">
        <v>6975.06</v>
      </c>
      <c r="F148" s="54">
        <f t="shared" si="23"/>
        <v>835.0600000000004</v>
      </c>
      <c r="G148" s="125">
        <f t="shared" si="22"/>
        <v>113.60032573289902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22"/>
      <c r="X148" s="3"/>
      <c r="Y148" s="3"/>
      <c r="Z148" s="3"/>
      <c r="AA148" s="3"/>
      <c r="AD148" s="5"/>
      <c r="AE148" s="5"/>
      <c r="AF148" s="5"/>
      <c r="AG148" s="5"/>
      <c r="AH148" s="5"/>
      <c r="AI148" s="5"/>
      <c r="AJ148" s="3"/>
      <c r="AK148" s="3"/>
      <c r="AL148" s="3"/>
      <c r="AM148" s="3"/>
      <c r="AN148" s="35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BN148" s="3"/>
      <c r="BO148" s="3"/>
    </row>
    <row r="149" spans="1:67" s="4" customFormat="1" ht="78.75" customHeight="1" x14ac:dyDescent="0.25">
      <c r="A149" s="80" t="s">
        <v>177</v>
      </c>
      <c r="B149" s="16" t="s">
        <v>174</v>
      </c>
      <c r="C149" s="65" t="s">
        <v>178</v>
      </c>
      <c r="D149" s="54">
        <f>488620-88620</f>
        <v>400000</v>
      </c>
      <c r="E149" s="54">
        <v>300440.68</v>
      </c>
      <c r="F149" s="54">
        <f t="shared" si="23"/>
        <v>-99559.32</v>
      </c>
      <c r="G149" s="125">
        <f t="shared" si="22"/>
        <v>75.110169999999997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22"/>
      <c r="X149" s="3"/>
      <c r="Y149" s="3"/>
      <c r="Z149" s="3"/>
      <c r="AA149" s="3"/>
      <c r="AD149" s="5"/>
      <c r="AE149" s="5"/>
      <c r="AF149" s="5"/>
      <c r="AG149" s="5"/>
      <c r="AH149" s="5"/>
      <c r="AI149" s="5"/>
      <c r="AJ149" s="3"/>
      <c r="AK149" s="3"/>
      <c r="AL149" s="3"/>
      <c r="AM149" s="3"/>
      <c r="AN149" s="35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BN149" s="3"/>
      <c r="BO149" s="3"/>
    </row>
    <row r="150" spans="1:67" s="4" customFormat="1" ht="52.8" x14ac:dyDescent="0.25">
      <c r="A150" s="80" t="s">
        <v>179</v>
      </c>
      <c r="B150" s="16" t="s">
        <v>5</v>
      </c>
      <c r="C150" s="65" t="s">
        <v>180</v>
      </c>
      <c r="D150" s="54">
        <f>+D152+D151</f>
        <v>181000</v>
      </c>
      <c r="E150" s="54">
        <f t="shared" ref="E150" si="26">+E152+E151</f>
        <v>171154.11</v>
      </c>
      <c r="F150" s="54">
        <f t="shared" si="23"/>
        <v>-9845.890000000014</v>
      </c>
      <c r="G150" s="125">
        <f t="shared" si="22"/>
        <v>94.560281767955786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22"/>
      <c r="X150" s="3"/>
      <c r="Y150" s="3"/>
      <c r="Z150" s="3"/>
      <c r="AA150" s="3"/>
      <c r="AD150" s="5"/>
      <c r="AE150" s="5"/>
      <c r="AF150" s="5"/>
      <c r="AG150" s="5"/>
      <c r="AH150" s="5"/>
      <c r="AI150" s="5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BN150" s="3"/>
      <c r="BO150" s="3"/>
    </row>
    <row r="151" spans="1:67" s="4" customFormat="1" ht="66" customHeight="1" x14ac:dyDescent="0.25">
      <c r="A151" s="80" t="s">
        <v>181</v>
      </c>
      <c r="B151" s="16" t="s">
        <v>172</v>
      </c>
      <c r="C151" s="65" t="s">
        <v>182</v>
      </c>
      <c r="D151" s="54">
        <f>2350-1350</f>
        <v>1000</v>
      </c>
      <c r="E151" s="54">
        <v>799</v>
      </c>
      <c r="F151" s="54">
        <f t="shared" si="23"/>
        <v>-201</v>
      </c>
      <c r="G151" s="125">
        <f t="shared" si="22"/>
        <v>79.900000000000006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22"/>
      <c r="X151" s="3"/>
      <c r="Y151" s="3"/>
      <c r="Z151" s="3"/>
      <c r="AA151" s="3"/>
      <c r="AD151" s="5"/>
      <c r="AE151" s="5"/>
      <c r="AF151" s="5"/>
      <c r="AG151" s="5"/>
      <c r="AH151" s="5"/>
      <c r="AI151" s="5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BN151" s="3"/>
      <c r="BO151" s="3"/>
    </row>
    <row r="152" spans="1:67" s="4" customFormat="1" ht="67.5" customHeight="1" x14ac:dyDescent="0.25">
      <c r="A152" s="80" t="s">
        <v>181</v>
      </c>
      <c r="B152" s="16" t="s">
        <v>174</v>
      </c>
      <c r="C152" s="65" t="s">
        <v>182</v>
      </c>
      <c r="D152" s="54">
        <f>19690+141561.93+18748.07</f>
        <v>180000</v>
      </c>
      <c r="E152" s="54">
        <v>170355.11</v>
      </c>
      <c r="F152" s="54">
        <f t="shared" si="23"/>
        <v>-9644.890000000014</v>
      </c>
      <c r="G152" s="125">
        <f t="shared" si="22"/>
        <v>94.641727777777774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22"/>
      <c r="X152" s="3"/>
      <c r="Y152" s="3"/>
      <c r="Z152" s="3"/>
      <c r="AA152" s="3"/>
      <c r="AD152" s="5"/>
      <c r="AE152" s="5"/>
      <c r="AF152" s="5"/>
      <c r="AG152" s="5"/>
      <c r="AH152" s="5"/>
      <c r="AI152" s="5"/>
      <c r="AJ152" s="3"/>
      <c r="AK152" s="3"/>
      <c r="AL152" s="3"/>
      <c r="AM152" s="3"/>
      <c r="AN152" s="35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BN152" s="3"/>
      <c r="BO152" s="3"/>
    </row>
    <row r="153" spans="1:67" s="4" customFormat="1" ht="52.8" x14ac:dyDescent="0.25">
      <c r="A153" s="80" t="s">
        <v>183</v>
      </c>
      <c r="B153" s="16" t="s">
        <v>5</v>
      </c>
      <c r="C153" s="65" t="s">
        <v>184</v>
      </c>
      <c r="D153" s="54">
        <f t="shared" ref="D153:E153" si="27">+D154</f>
        <v>273350</v>
      </c>
      <c r="E153" s="54">
        <f t="shared" si="27"/>
        <v>56379.38</v>
      </c>
      <c r="F153" s="54">
        <f t="shared" si="23"/>
        <v>-216970.62</v>
      </c>
      <c r="G153" s="125">
        <f t="shared" si="22"/>
        <v>20.625344796049021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22"/>
      <c r="X153" s="3"/>
      <c r="Y153" s="3"/>
      <c r="Z153" s="3"/>
      <c r="AA153" s="3"/>
      <c r="AD153" s="5"/>
      <c r="AE153" s="5"/>
      <c r="AF153" s="5"/>
      <c r="AG153" s="5"/>
      <c r="AH153" s="5"/>
      <c r="AI153" s="5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BN153" s="3"/>
      <c r="BO153" s="3"/>
    </row>
    <row r="154" spans="1:67" s="4" customFormat="1" ht="69.599999999999994" customHeight="1" x14ac:dyDescent="0.25">
      <c r="A154" s="80" t="s">
        <v>185</v>
      </c>
      <c r="B154" s="16" t="s">
        <v>174</v>
      </c>
      <c r="C154" s="65" t="s">
        <v>186</v>
      </c>
      <c r="D154" s="54">
        <v>273350</v>
      </c>
      <c r="E154" s="54">
        <v>56379.38</v>
      </c>
      <c r="F154" s="54">
        <f t="shared" si="23"/>
        <v>-216970.62</v>
      </c>
      <c r="G154" s="125">
        <f t="shared" si="22"/>
        <v>20.625344796049021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22"/>
      <c r="X154" s="3"/>
      <c r="Y154" s="3"/>
      <c r="Z154" s="3"/>
      <c r="AA154" s="3"/>
      <c r="AD154" s="5"/>
      <c r="AE154" s="5"/>
      <c r="AF154" s="5"/>
      <c r="AG154" s="5"/>
      <c r="AH154" s="5"/>
      <c r="AI154" s="5"/>
      <c r="AJ154" s="3"/>
      <c r="AK154" s="3"/>
      <c r="AL154" s="3"/>
      <c r="AM154" s="3"/>
      <c r="AN154" s="35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BN154" s="3"/>
      <c r="BO154" s="3"/>
    </row>
    <row r="155" spans="1:67" s="4" customFormat="1" ht="52.8" x14ac:dyDescent="0.25">
      <c r="A155" s="80" t="s">
        <v>485</v>
      </c>
      <c r="B155" s="16" t="s">
        <v>5</v>
      </c>
      <c r="C155" s="65" t="s">
        <v>526</v>
      </c>
      <c r="D155" s="54">
        <f>D156</f>
        <v>750</v>
      </c>
      <c r="E155" s="54">
        <f>E156</f>
        <v>750</v>
      </c>
      <c r="F155" s="54">
        <f t="shared" si="23"/>
        <v>0</v>
      </c>
      <c r="G155" s="125">
        <f t="shared" si="22"/>
        <v>100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22"/>
      <c r="X155" s="3"/>
      <c r="Y155" s="3"/>
      <c r="Z155" s="3"/>
      <c r="AA155" s="3"/>
      <c r="AD155" s="5"/>
      <c r="AE155" s="5"/>
      <c r="AF155" s="5"/>
      <c r="AG155" s="5"/>
      <c r="AH155" s="5"/>
      <c r="AI155" s="5"/>
      <c r="AJ155" s="3"/>
      <c r="AK155" s="3"/>
      <c r="AL155" s="3"/>
      <c r="AM155" s="3"/>
      <c r="AN155" s="35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BN155" s="3"/>
      <c r="BO155" s="3"/>
    </row>
    <row r="156" spans="1:67" s="4" customFormat="1" ht="52.8" x14ac:dyDescent="0.25">
      <c r="A156" s="80" t="s">
        <v>485</v>
      </c>
      <c r="B156" s="16" t="s">
        <v>174</v>
      </c>
      <c r="C156" s="65" t="s">
        <v>527</v>
      </c>
      <c r="D156" s="54">
        <v>750</v>
      </c>
      <c r="E156" s="54">
        <v>750</v>
      </c>
      <c r="F156" s="54">
        <f t="shared" si="23"/>
        <v>0</v>
      </c>
      <c r="G156" s="125">
        <f t="shared" si="22"/>
        <v>100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22"/>
      <c r="X156" s="3"/>
      <c r="Y156" s="3"/>
      <c r="Z156" s="3"/>
      <c r="AA156" s="3"/>
      <c r="AD156" s="5"/>
      <c r="AE156" s="5"/>
      <c r="AF156" s="5"/>
      <c r="AG156" s="5"/>
      <c r="AH156" s="5"/>
      <c r="AI156" s="5"/>
      <c r="AJ156" s="3"/>
      <c r="AK156" s="3"/>
      <c r="AL156" s="3"/>
      <c r="AM156" s="3"/>
      <c r="AN156" s="35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BN156" s="3"/>
      <c r="BO156" s="3"/>
    </row>
    <row r="157" spans="1:67" s="4" customFormat="1" ht="52.8" x14ac:dyDescent="0.25">
      <c r="A157" s="79" t="s">
        <v>486</v>
      </c>
      <c r="B157" s="16" t="s">
        <v>5</v>
      </c>
      <c r="C157" s="71" t="s">
        <v>487</v>
      </c>
      <c r="D157" s="54">
        <f>+D158</f>
        <v>1650</v>
      </c>
      <c r="E157" s="54">
        <f>+E158</f>
        <v>1650</v>
      </c>
      <c r="F157" s="54">
        <f t="shared" si="23"/>
        <v>0</v>
      </c>
      <c r="G157" s="125">
        <f t="shared" si="22"/>
        <v>100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22"/>
      <c r="X157" s="3"/>
      <c r="Y157" s="3"/>
      <c r="Z157" s="3"/>
      <c r="AA157" s="3"/>
      <c r="AD157" s="5"/>
      <c r="AE157" s="5"/>
      <c r="AF157" s="5"/>
      <c r="AG157" s="5"/>
      <c r="AH157" s="5"/>
      <c r="AI157" s="5"/>
      <c r="AJ157" s="3"/>
      <c r="AK157" s="3"/>
      <c r="AL157" s="3"/>
      <c r="AM157" s="3"/>
      <c r="AN157" s="35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BN157" s="3"/>
      <c r="BO157" s="3"/>
    </row>
    <row r="158" spans="1:67" s="4" customFormat="1" ht="72.599999999999994" customHeight="1" x14ac:dyDescent="0.25">
      <c r="A158" s="79" t="s">
        <v>488</v>
      </c>
      <c r="B158" s="16" t="s">
        <v>174</v>
      </c>
      <c r="C158" s="76" t="s">
        <v>528</v>
      </c>
      <c r="D158" s="82">
        <v>1650</v>
      </c>
      <c r="E158" s="82">
        <v>1650</v>
      </c>
      <c r="F158" s="54">
        <f t="shared" si="23"/>
        <v>0</v>
      </c>
      <c r="G158" s="125">
        <f t="shared" si="22"/>
        <v>100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22"/>
      <c r="X158" s="3"/>
      <c r="Y158" s="3"/>
      <c r="Z158" s="3"/>
      <c r="AA158" s="3"/>
      <c r="AD158" s="5"/>
      <c r="AE158" s="5"/>
      <c r="AF158" s="5"/>
      <c r="AG158" s="5"/>
      <c r="AH158" s="5"/>
      <c r="AI158" s="5"/>
      <c r="AJ158" s="3"/>
      <c r="AK158" s="3"/>
      <c r="AL158" s="3"/>
      <c r="AM158" s="3"/>
      <c r="AN158" s="35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BN158" s="3"/>
      <c r="BO158" s="3"/>
    </row>
    <row r="159" spans="1:67" s="4" customFormat="1" ht="79.2" x14ac:dyDescent="0.25">
      <c r="A159" s="79" t="s">
        <v>489</v>
      </c>
      <c r="B159" s="16" t="s">
        <v>5</v>
      </c>
      <c r="C159" s="76" t="s">
        <v>490</v>
      </c>
      <c r="D159" s="82">
        <f>D160</f>
        <v>7500</v>
      </c>
      <c r="E159" s="82">
        <f>E160</f>
        <v>7500</v>
      </c>
      <c r="F159" s="54">
        <f t="shared" si="23"/>
        <v>0</v>
      </c>
      <c r="G159" s="125">
        <f t="shared" si="22"/>
        <v>100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22"/>
      <c r="X159" s="3"/>
      <c r="Y159" s="3"/>
      <c r="Z159" s="3"/>
      <c r="AA159" s="3"/>
      <c r="AD159" s="5"/>
      <c r="AE159" s="5"/>
      <c r="AF159" s="5"/>
      <c r="AG159" s="5"/>
      <c r="AH159" s="5"/>
      <c r="AI159" s="5"/>
      <c r="AJ159" s="3"/>
      <c r="AK159" s="3"/>
      <c r="AL159" s="3"/>
      <c r="AM159" s="3"/>
      <c r="AN159" s="35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BN159" s="3"/>
      <c r="BO159" s="3"/>
    </row>
    <row r="160" spans="1:67" s="4" customFormat="1" ht="66" x14ac:dyDescent="0.25">
      <c r="A160" s="79" t="s">
        <v>491</v>
      </c>
      <c r="B160" s="16" t="s">
        <v>174</v>
      </c>
      <c r="C160" s="76" t="s">
        <v>492</v>
      </c>
      <c r="D160" s="82">
        <v>7500</v>
      </c>
      <c r="E160" s="82">
        <v>7500</v>
      </c>
      <c r="F160" s="54">
        <f t="shared" si="23"/>
        <v>0</v>
      </c>
      <c r="G160" s="125">
        <f t="shared" si="22"/>
        <v>100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22"/>
      <c r="X160" s="3"/>
      <c r="Y160" s="3"/>
      <c r="Z160" s="3"/>
      <c r="AA160" s="3"/>
      <c r="AD160" s="5"/>
      <c r="AE160" s="5"/>
      <c r="AF160" s="5"/>
      <c r="AG160" s="5"/>
      <c r="AH160" s="5"/>
      <c r="AI160" s="5"/>
      <c r="AJ160" s="3"/>
      <c r="AK160" s="3"/>
      <c r="AL160" s="3"/>
      <c r="AM160" s="3"/>
      <c r="AN160" s="35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BN160" s="3"/>
      <c r="BO160" s="3"/>
    </row>
    <row r="161" spans="1:67" s="4" customFormat="1" ht="52.8" x14ac:dyDescent="0.25">
      <c r="A161" s="79" t="s">
        <v>493</v>
      </c>
      <c r="B161" s="16" t="s">
        <v>5</v>
      </c>
      <c r="C161" s="71" t="s">
        <v>494</v>
      </c>
      <c r="D161" s="54">
        <f>+D162</f>
        <v>15000</v>
      </c>
      <c r="E161" s="54">
        <f>+E162</f>
        <v>15000</v>
      </c>
      <c r="F161" s="54">
        <f t="shared" si="23"/>
        <v>0</v>
      </c>
      <c r="G161" s="125">
        <f t="shared" si="22"/>
        <v>100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22"/>
      <c r="X161" s="3"/>
      <c r="Y161" s="3"/>
      <c r="Z161" s="3"/>
      <c r="AA161" s="3"/>
      <c r="AD161" s="5"/>
      <c r="AE161" s="5"/>
      <c r="AF161" s="5"/>
      <c r="AG161" s="5"/>
      <c r="AH161" s="5"/>
      <c r="AI161" s="5"/>
      <c r="AJ161" s="3"/>
      <c r="AK161" s="3"/>
      <c r="AL161" s="3"/>
      <c r="AM161" s="3"/>
      <c r="AN161" s="35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BN161" s="3"/>
      <c r="BO161" s="3"/>
    </row>
    <row r="162" spans="1:67" s="4" customFormat="1" ht="66" x14ac:dyDescent="0.25">
      <c r="A162" s="79" t="s">
        <v>495</v>
      </c>
      <c r="B162" s="16" t="s">
        <v>174</v>
      </c>
      <c r="C162" s="76" t="s">
        <v>529</v>
      </c>
      <c r="D162" s="82">
        <v>15000</v>
      </c>
      <c r="E162" s="82">
        <v>15000</v>
      </c>
      <c r="F162" s="54">
        <f t="shared" si="23"/>
        <v>0</v>
      </c>
      <c r="G162" s="125">
        <f t="shared" si="22"/>
        <v>100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22"/>
      <c r="X162" s="3"/>
      <c r="Y162" s="3"/>
      <c r="Z162" s="3"/>
      <c r="AA162" s="3"/>
      <c r="AD162" s="5"/>
      <c r="AE162" s="5"/>
      <c r="AF162" s="5"/>
      <c r="AG162" s="5"/>
      <c r="AH162" s="5"/>
      <c r="AI162" s="5"/>
      <c r="AJ162" s="3"/>
      <c r="AK162" s="3"/>
      <c r="AL162" s="3"/>
      <c r="AM162" s="3"/>
      <c r="AN162" s="35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BN162" s="3"/>
      <c r="BO162" s="3"/>
    </row>
    <row r="163" spans="1:67" s="4" customFormat="1" ht="66" x14ac:dyDescent="0.25">
      <c r="A163" s="80" t="s">
        <v>187</v>
      </c>
      <c r="B163" s="16" t="s">
        <v>5</v>
      </c>
      <c r="C163" s="65" t="s">
        <v>188</v>
      </c>
      <c r="D163" s="54">
        <f t="shared" ref="D163:E163" si="28">+D164</f>
        <v>629530.41</v>
      </c>
      <c r="E163" s="54">
        <f t="shared" si="28"/>
        <v>284949.52</v>
      </c>
      <c r="F163" s="54">
        <f t="shared" si="23"/>
        <v>-344580.89</v>
      </c>
      <c r="G163" s="125">
        <f t="shared" si="22"/>
        <v>45.263821329933847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22"/>
      <c r="X163" s="3"/>
      <c r="Y163" s="3"/>
      <c r="Z163" s="3"/>
      <c r="AA163" s="3"/>
      <c r="AD163" s="5"/>
      <c r="AE163" s="5"/>
      <c r="AF163" s="5"/>
      <c r="AG163" s="5"/>
      <c r="AH163" s="5"/>
      <c r="AI163" s="5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BN163" s="3"/>
      <c r="BO163" s="3"/>
    </row>
    <row r="164" spans="1:67" s="4" customFormat="1" ht="78.75" customHeight="1" x14ac:dyDescent="0.25">
      <c r="A164" s="80" t="s">
        <v>189</v>
      </c>
      <c r="B164" s="16" t="s">
        <v>174</v>
      </c>
      <c r="C164" s="65" t="s">
        <v>190</v>
      </c>
      <c r="D164" s="54">
        <f>821150-191619.59</f>
        <v>629530.41</v>
      </c>
      <c r="E164" s="54">
        <v>284949.52</v>
      </c>
      <c r="F164" s="54">
        <f t="shared" si="23"/>
        <v>-344580.89</v>
      </c>
      <c r="G164" s="125">
        <f t="shared" si="22"/>
        <v>45.263821329933847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22"/>
      <c r="X164" s="3"/>
      <c r="Y164" s="3"/>
      <c r="Z164" s="3"/>
      <c r="AA164" s="3"/>
      <c r="AD164" s="5"/>
      <c r="AE164" s="5"/>
      <c r="AF164" s="5"/>
      <c r="AG164" s="5"/>
      <c r="AH164" s="5"/>
      <c r="AI164" s="5"/>
      <c r="AJ164" s="3"/>
      <c r="AK164" s="3"/>
      <c r="AL164" s="3"/>
      <c r="AM164" s="3"/>
      <c r="AN164" s="35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BN164" s="3"/>
      <c r="BO164" s="3"/>
    </row>
    <row r="165" spans="1:67" s="4" customFormat="1" ht="56.25" customHeight="1" x14ac:dyDescent="0.25">
      <c r="A165" s="80" t="s">
        <v>191</v>
      </c>
      <c r="B165" s="16" t="s">
        <v>5</v>
      </c>
      <c r="C165" s="65" t="s">
        <v>192</v>
      </c>
      <c r="D165" s="54">
        <f t="shared" ref="D165:E165" si="29">+D166</f>
        <v>70000</v>
      </c>
      <c r="E165" s="54">
        <f t="shared" si="29"/>
        <v>61355.199999999997</v>
      </c>
      <c r="F165" s="54">
        <f t="shared" si="23"/>
        <v>-8644.8000000000029</v>
      </c>
      <c r="G165" s="125">
        <f t="shared" si="22"/>
        <v>87.650285714285715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22"/>
      <c r="X165" s="3"/>
      <c r="Y165" s="3"/>
      <c r="Z165" s="3"/>
      <c r="AA165" s="3"/>
      <c r="AD165" s="5"/>
      <c r="AE165" s="5"/>
      <c r="AF165" s="5"/>
      <c r="AG165" s="5"/>
      <c r="AH165" s="5"/>
      <c r="AI165" s="5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BN165" s="3"/>
      <c r="BO165" s="3"/>
    </row>
    <row r="166" spans="1:67" s="4" customFormat="1" ht="97.2" customHeight="1" x14ac:dyDescent="0.25">
      <c r="A166" s="80" t="s">
        <v>193</v>
      </c>
      <c r="B166" s="16" t="s">
        <v>174</v>
      </c>
      <c r="C166" s="65" t="s">
        <v>194</v>
      </c>
      <c r="D166" s="54">
        <f>45650+24350</f>
        <v>70000</v>
      </c>
      <c r="E166" s="54">
        <v>61355.199999999997</v>
      </c>
      <c r="F166" s="54">
        <f t="shared" si="23"/>
        <v>-8644.8000000000029</v>
      </c>
      <c r="G166" s="125">
        <f t="shared" si="22"/>
        <v>87.650285714285715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22"/>
      <c r="X166" s="3"/>
      <c r="Y166" s="3"/>
      <c r="Z166" s="3"/>
      <c r="AA166" s="3"/>
      <c r="AD166" s="5"/>
      <c r="AE166" s="5"/>
      <c r="AF166" s="5"/>
      <c r="AG166" s="5"/>
      <c r="AH166" s="5"/>
      <c r="AI166" s="5"/>
      <c r="AJ166" s="3"/>
      <c r="AK166" s="3"/>
      <c r="AL166" s="3"/>
      <c r="AM166" s="3"/>
      <c r="AN166" s="35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BN166" s="3"/>
      <c r="BO166" s="3"/>
    </row>
    <row r="167" spans="1:67" s="4" customFormat="1" ht="52.8" x14ac:dyDescent="0.25">
      <c r="A167" s="81" t="s">
        <v>481</v>
      </c>
      <c r="B167" s="16" t="s">
        <v>5</v>
      </c>
      <c r="C167" s="71" t="s">
        <v>482</v>
      </c>
      <c r="D167" s="54">
        <f>+D168</f>
        <v>1799.08</v>
      </c>
      <c r="E167" s="54">
        <f>+E168</f>
        <v>1799.49</v>
      </c>
      <c r="F167" s="54">
        <f t="shared" si="23"/>
        <v>0.41000000000008185</v>
      </c>
      <c r="G167" s="125">
        <f t="shared" si="22"/>
        <v>100.02278942570648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22"/>
      <c r="X167" s="3"/>
      <c r="Y167" s="3"/>
      <c r="Z167" s="3"/>
      <c r="AA167" s="3"/>
      <c r="AD167" s="5"/>
      <c r="AE167" s="5"/>
      <c r="AF167" s="5"/>
      <c r="AG167" s="5"/>
      <c r="AH167" s="5"/>
      <c r="AI167" s="5"/>
      <c r="AJ167" s="3"/>
      <c r="AK167" s="3"/>
      <c r="AL167" s="3"/>
      <c r="AM167" s="3"/>
      <c r="AN167" s="35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BN167" s="3"/>
      <c r="BO167" s="3"/>
    </row>
    <row r="168" spans="1:67" s="4" customFormat="1" ht="79.2" x14ac:dyDescent="0.25">
      <c r="A168" s="81" t="s">
        <v>483</v>
      </c>
      <c r="B168" s="16" t="s">
        <v>174</v>
      </c>
      <c r="C168" s="71" t="s">
        <v>484</v>
      </c>
      <c r="D168" s="54">
        <v>1799.08</v>
      </c>
      <c r="E168" s="54">
        <v>1799.49</v>
      </c>
      <c r="F168" s="54">
        <f t="shared" si="23"/>
        <v>0.41000000000008185</v>
      </c>
      <c r="G168" s="125">
        <f t="shared" si="22"/>
        <v>100.02278942570648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22"/>
      <c r="X168" s="3"/>
      <c r="Y168" s="3"/>
      <c r="Z168" s="3"/>
      <c r="AA168" s="3"/>
      <c r="AD168" s="5"/>
      <c r="AE168" s="5"/>
      <c r="AF168" s="5"/>
      <c r="AG168" s="5"/>
      <c r="AH168" s="5"/>
      <c r="AI168" s="5"/>
      <c r="AJ168" s="3"/>
      <c r="AK168" s="3"/>
      <c r="AL168" s="3"/>
      <c r="AM168" s="3"/>
      <c r="AN168" s="35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BN168" s="3"/>
      <c r="BO168" s="3"/>
    </row>
    <row r="169" spans="1:67" s="4" customFormat="1" ht="52.8" x14ac:dyDescent="0.25">
      <c r="A169" s="80" t="s">
        <v>195</v>
      </c>
      <c r="B169" s="16" t="s">
        <v>5</v>
      </c>
      <c r="C169" s="65" t="s">
        <v>196</v>
      </c>
      <c r="D169" s="54">
        <f t="shared" ref="D169:E169" si="30">+D170</f>
        <v>10890</v>
      </c>
      <c r="E169" s="54">
        <f t="shared" si="30"/>
        <v>10976.93</v>
      </c>
      <c r="F169" s="54">
        <f t="shared" si="23"/>
        <v>86.930000000000291</v>
      </c>
      <c r="G169" s="125">
        <f t="shared" si="22"/>
        <v>100.79825528007346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22"/>
      <c r="X169" s="3"/>
      <c r="Y169" s="3"/>
      <c r="Z169" s="3"/>
      <c r="AA169" s="3"/>
      <c r="AD169" s="5"/>
      <c r="AE169" s="5"/>
      <c r="AF169" s="5"/>
      <c r="AG169" s="5"/>
      <c r="AH169" s="5"/>
      <c r="AI169" s="5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BN169" s="3"/>
      <c r="BO169" s="3"/>
    </row>
    <row r="170" spans="1:67" s="4" customFormat="1" ht="66" x14ac:dyDescent="0.25">
      <c r="A170" s="80" t="s">
        <v>197</v>
      </c>
      <c r="B170" s="16" t="s">
        <v>174</v>
      </c>
      <c r="C170" s="65" t="s">
        <v>198</v>
      </c>
      <c r="D170" s="54">
        <v>10890</v>
      </c>
      <c r="E170" s="54">
        <v>10976.93</v>
      </c>
      <c r="F170" s="54">
        <f t="shared" si="23"/>
        <v>86.930000000000291</v>
      </c>
      <c r="G170" s="125">
        <f t="shared" si="22"/>
        <v>100.79825528007346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22"/>
      <c r="X170" s="3"/>
      <c r="Y170" s="3"/>
      <c r="Z170" s="3"/>
      <c r="AA170" s="3"/>
      <c r="AD170" s="5"/>
      <c r="AE170" s="5"/>
      <c r="AF170" s="5"/>
      <c r="AG170" s="5"/>
      <c r="AH170" s="5"/>
      <c r="AI170" s="5"/>
      <c r="AJ170" s="3"/>
      <c r="AK170" s="3"/>
      <c r="AL170" s="3"/>
      <c r="AM170" s="3"/>
      <c r="AN170" s="35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BN170" s="3"/>
      <c r="BO170" s="3"/>
    </row>
    <row r="171" spans="1:67" s="4" customFormat="1" ht="39.6" x14ac:dyDescent="0.25">
      <c r="A171" s="80" t="s">
        <v>199</v>
      </c>
      <c r="B171" s="16" t="s">
        <v>5</v>
      </c>
      <c r="C171" s="65" t="s">
        <v>200</v>
      </c>
      <c r="D171" s="54">
        <f t="shared" ref="D171:E171" si="31">+D172+D173</f>
        <v>945580</v>
      </c>
      <c r="E171" s="54">
        <f t="shared" si="31"/>
        <v>79755.319999999992</v>
      </c>
      <c r="F171" s="54">
        <f t="shared" si="23"/>
        <v>-865824.68</v>
      </c>
      <c r="G171" s="125">
        <f t="shared" si="22"/>
        <v>8.43453964762368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22"/>
      <c r="X171" s="3"/>
      <c r="Y171" s="3"/>
      <c r="Z171" s="3"/>
      <c r="AA171" s="3"/>
      <c r="AD171" s="5"/>
      <c r="AE171" s="5"/>
      <c r="AF171" s="5"/>
      <c r="AG171" s="5"/>
      <c r="AH171" s="5"/>
      <c r="AI171" s="5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BN171" s="3"/>
      <c r="BO171" s="3"/>
    </row>
    <row r="172" spans="1:67" s="4" customFormat="1" ht="66" x14ac:dyDescent="0.25">
      <c r="A172" s="80" t="s">
        <v>201</v>
      </c>
      <c r="B172" s="16" t="s">
        <v>172</v>
      </c>
      <c r="C172" s="65" t="s">
        <v>202</v>
      </c>
      <c r="D172" s="54">
        <v>24550</v>
      </c>
      <c r="E172" s="54">
        <v>4523.87</v>
      </c>
      <c r="F172" s="54">
        <f t="shared" si="23"/>
        <v>-20026.13</v>
      </c>
      <c r="G172" s="125">
        <f t="shared" si="22"/>
        <v>18.427169042769854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22"/>
      <c r="X172" s="3"/>
      <c r="Y172" s="3"/>
      <c r="Z172" s="3"/>
      <c r="AA172" s="3"/>
      <c r="AD172" s="5"/>
      <c r="AE172" s="5"/>
      <c r="AF172" s="5"/>
      <c r="AG172" s="5"/>
      <c r="AH172" s="5"/>
      <c r="AI172" s="5"/>
      <c r="AJ172" s="3"/>
      <c r="AK172" s="3"/>
      <c r="AL172" s="3"/>
      <c r="AM172" s="3"/>
      <c r="AN172" s="35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BN172" s="3"/>
      <c r="BO172" s="3"/>
    </row>
    <row r="173" spans="1:67" s="4" customFormat="1" ht="66" x14ac:dyDescent="0.25">
      <c r="A173" s="80" t="s">
        <v>201</v>
      </c>
      <c r="B173" s="16" t="s">
        <v>174</v>
      </c>
      <c r="C173" s="65" t="s">
        <v>202</v>
      </c>
      <c r="D173" s="54">
        <v>921030</v>
      </c>
      <c r="E173" s="54">
        <v>75231.45</v>
      </c>
      <c r="F173" s="54">
        <f t="shared" si="23"/>
        <v>-845798.55</v>
      </c>
      <c r="G173" s="125">
        <f t="shared" si="22"/>
        <v>8.168186704016156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22"/>
      <c r="X173" s="3"/>
      <c r="Y173" s="3"/>
      <c r="Z173" s="3"/>
      <c r="AA173" s="3"/>
      <c r="AD173" s="5"/>
      <c r="AE173" s="5"/>
      <c r="AF173" s="5"/>
      <c r="AG173" s="5"/>
      <c r="AH173" s="5"/>
      <c r="AI173" s="5"/>
      <c r="AJ173" s="3"/>
      <c r="AK173" s="3"/>
      <c r="AL173" s="3"/>
      <c r="AM173" s="3"/>
      <c r="AN173" s="35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BN173" s="3"/>
      <c r="BO173" s="3"/>
    </row>
    <row r="174" spans="1:67" s="4" customFormat="1" ht="54" customHeight="1" x14ac:dyDescent="0.25">
      <c r="A174" s="80" t="s">
        <v>203</v>
      </c>
      <c r="B174" s="16" t="s">
        <v>5</v>
      </c>
      <c r="C174" s="65" t="s">
        <v>204</v>
      </c>
      <c r="D174" s="54">
        <f t="shared" ref="D174:E174" si="32">+D175+D176</f>
        <v>1820670</v>
      </c>
      <c r="E174" s="54">
        <f t="shared" si="32"/>
        <v>1001811</v>
      </c>
      <c r="F174" s="54">
        <f t="shared" si="23"/>
        <v>-818859</v>
      </c>
      <c r="G174" s="125">
        <f t="shared" si="22"/>
        <v>55.024304239648039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22"/>
      <c r="X174" s="3"/>
      <c r="Y174" s="3"/>
      <c r="Z174" s="3"/>
      <c r="AA174" s="3"/>
      <c r="AD174" s="5"/>
      <c r="AE174" s="5"/>
      <c r="AF174" s="5"/>
      <c r="AG174" s="5"/>
      <c r="AH174" s="5"/>
      <c r="AI174" s="5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BN174" s="3"/>
      <c r="BO174" s="3"/>
    </row>
    <row r="175" spans="1:67" s="4" customFormat="1" ht="79.2" x14ac:dyDescent="0.25">
      <c r="A175" s="80" t="s">
        <v>205</v>
      </c>
      <c r="B175" s="16" t="s">
        <v>172</v>
      </c>
      <c r="C175" s="65" t="s">
        <v>206</v>
      </c>
      <c r="D175" s="54">
        <v>47140</v>
      </c>
      <c r="E175" s="54">
        <v>20255.490000000002</v>
      </c>
      <c r="F175" s="54">
        <f t="shared" si="23"/>
        <v>-26884.51</v>
      </c>
      <c r="G175" s="125">
        <f t="shared" si="22"/>
        <v>42.968795078489606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22"/>
      <c r="X175" s="3"/>
      <c r="Y175" s="3"/>
      <c r="Z175" s="3"/>
      <c r="AA175" s="3"/>
      <c r="AD175" s="5"/>
      <c r="AE175" s="5"/>
      <c r="AF175" s="5"/>
      <c r="AG175" s="5"/>
      <c r="AH175" s="5"/>
      <c r="AI175" s="5"/>
      <c r="AJ175" s="3"/>
      <c r="AK175" s="3"/>
      <c r="AL175" s="3"/>
      <c r="AM175" s="3"/>
      <c r="AN175" s="35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N175" s="3"/>
      <c r="BO175" s="3"/>
    </row>
    <row r="176" spans="1:67" s="4" customFormat="1" ht="79.2" x14ac:dyDescent="0.25">
      <c r="A176" s="80" t="s">
        <v>205</v>
      </c>
      <c r="B176" s="16" t="s">
        <v>174</v>
      </c>
      <c r="C176" s="65" t="s">
        <v>206</v>
      </c>
      <c r="D176" s="54">
        <v>1773530</v>
      </c>
      <c r="E176" s="54">
        <v>981555.51</v>
      </c>
      <c r="F176" s="54">
        <f t="shared" si="23"/>
        <v>-791974.49</v>
      </c>
      <c r="G176" s="125">
        <f t="shared" si="22"/>
        <v>55.344736767914839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22"/>
      <c r="X176" s="3"/>
      <c r="Y176" s="3"/>
      <c r="Z176" s="3"/>
      <c r="AA176" s="3"/>
      <c r="AD176" s="5"/>
      <c r="AE176" s="5"/>
      <c r="AF176" s="5"/>
      <c r="AG176" s="5"/>
      <c r="AH176" s="5"/>
      <c r="AI176" s="5"/>
      <c r="AJ176" s="3"/>
      <c r="AK176" s="3"/>
      <c r="AL176" s="3"/>
      <c r="AM176" s="3"/>
      <c r="AN176" s="35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BN176" s="3"/>
      <c r="BO176" s="3"/>
    </row>
    <row r="177" spans="1:67" s="4" customFormat="1" ht="30.75" customHeight="1" x14ac:dyDescent="0.25">
      <c r="A177" s="80" t="s">
        <v>207</v>
      </c>
      <c r="B177" s="36" t="s">
        <v>5</v>
      </c>
      <c r="C177" s="119" t="s">
        <v>208</v>
      </c>
      <c r="D177" s="54">
        <f>+D178</f>
        <v>165000</v>
      </c>
      <c r="E177" s="54">
        <f>+E178</f>
        <v>182036.69</v>
      </c>
      <c r="F177" s="54">
        <f t="shared" si="23"/>
        <v>17036.690000000002</v>
      </c>
      <c r="G177" s="125">
        <f t="shared" si="22"/>
        <v>110.32526666666666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22"/>
      <c r="X177" s="3"/>
      <c r="Y177" s="3"/>
      <c r="Z177" s="3"/>
      <c r="AA177" s="3"/>
      <c r="AD177" s="5"/>
      <c r="AE177" s="5"/>
      <c r="AF177" s="5"/>
      <c r="AG177" s="5"/>
      <c r="AH177" s="5"/>
      <c r="AI177" s="5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BN177" s="3"/>
      <c r="BO177" s="3"/>
    </row>
    <row r="178" spans="1:67" s="4" customFormat="1" ht="52.8" x14ac:dyDescent="0.25">
      <c r="A178" s="80" t="s">
        <v>323</v>
      </c>
      <c r="B178" s="36" t="s">
        <v>209</v>
      </c>
      <c r="C178" s="119" t="s">
        <v>210</v>
      </c>
      <c r="D178" s="54">
        <f>160000+5000</f>
        <v>165000</v>
      </c>
      <c r="E178" s="54">
        <v>182036.69</v>
      </c>
      <c r="F178" s="54">
        <f t="shared" si="23"/>
        <v>17036.690000000002</v>
      </c>
      <c r="G178" s="125">
        <f t="shared" si="22"/>
        <v>110.32526666666666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22"/>
      <c r="X178" s="3"/>
      <c r="Y178" s="3"/>
      <c r="Z178" s="3"/>
      <c r="AA178" s="3"/>
      <c r="AD178" s="5"/>
      <c r="AE178" s="5"/>
      <c r="AF178" s="5"/>
      <c r="AG178" s="5"/>
      <c r="AH178" s="5"/>
      <c r="AI178" s="5"/>
      <c r="AJ178" s="3"/>
      <c r="AK178" s="3"/>
      <c r="AL178" s="3"/>
      <c r="AM178" s="3"/>
      <c r="AN178" s="124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N178" s="3"/>
      <c r="BO178" s="3"/>
    </row>
    <row r="179" spans="1:67" s="4" customFormat="1" ht="94.5" customHeight="1" x14ac:dyDescent="0.25">
      <c r="A179" s="80" t="s">
        <v>211</v>
      </c>
      <c r="B179" s="16" t="s">
        <v>5</v>
      </c>
      <c r="C179" s="28" t="s">
        <v>324</v>
      </c>
      <c r="D179" s="54">
        <f>+D184+D180</f>
        <v>5552499.8700000001</v>
      </c>
      <c r="E179" s="54">
        <f>+E184+E180</f>
        <v>5817024.4700000007</v>
      </c>
      <c r="F179" s="54">
        <f t="shared" si="23"/>
        <v>264524.60000000056</v>
      </c>
      <c r="G179" s="125">
        <f t="shared" si="22"/>
        <v>104.76406314620949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22"/>
      <c r="X179" s="3"/>
      <c r="Y179" s="3"/>
      <c r="Z179" s="3"/>
      <c r="AA179" s="3"/>
      <c r="AD179" s="5"/>
      <c r="AE179" s="5"/>
      <c r="AF179" s="5"/>
      <c r="AG179" s="5"/>
      <c r="AH179" s="5"/>
      <c r="AI179" s="5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BN179" s="3"/>
      <c r="BO179" s="3"/>
    </row>
    <row r="180" spans="1:67" s="4" customFormat="1" ht="52.8" x14ac:dyDescent="0.25">
      <c r="A180" s="80" t="s">
        <v>358</v>
      </c>
      <c r="B180" s="16" t="s">
        <v>5</v>
      </c>
      <c r="C180" s="28" t="s">
        <v>359</v>
      </c>
      <c r="D180" s="54">
        <f>+D183+D181+D182</f>
        <v>14583.34</v>
      </c>
      <c r="E180" s="54">
        <f>+E183+E181+E182</f>
        <v>29953.86</v>
      </c>
      <c r="F180" s="54">
        <f t="shared" si="23"/>
        <v>15370.52</v>
      </c>
      <c r="G180" s="125">
        <f t="shared" si="22"/>
        <v>205.39780324671852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22"/>
      <c r="X180" s="3"/>
      <c r="Y180" s="3"/>
      <c r="Z180" s="3"/>
      <c r="AA180" s="3"/>
      <c r="AD180" s="5"/>
      <c r="AE180" s="5"/>
      <c r="AF180" s="5"/>
      <c r="AG180" s="5"/>
      <c r="AH180" s="5"/>
      <c r="AI180" s="5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BN180" s="3"/>
      <c r="BO180" s="3"/>
    </row>
    <row r="181" spans="1:67" s="4" customFormat="1" ht="66" x14ac:dyDescent="0.25">
      <c r="A181" s="89" t="s">
        <v>360</v>
      </c>
      <c r="B181" s="16" t="s">
        <v>77</v>
      </c>
      <c r="C181" s="65" t="s">
        <v>361</v>
      </c>
      <c r="D181" s="54">
        <v>9432.14</v>
      </c>
      <c r="E181" s="54">
        <v>9432.14</v>
      </c>
      <c r="F181" s="54">
        <f t="shared" si="23"/>
        <v>0</v>
      </c>
      <c r="G181" s="125">
        <f t="shared" si="22"/>
        <v>100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22"/>
      <c r="X181" s="3"/>
      <c r="Y181" s="3"/>
      <c r="Z181" s="3"/>
      <c r="AA181" s="3"/>
      <c r="AD181" s="5"/>
      <c r="AE181" s="5"/>
      <c r="AF181" s="5"/>
      <c r="AG181" s="5"/>
      <c r="AH181" s="5"/>
      <c r="AI181" s="5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BN181" s="3"/>
      <c r="BO181" s="3"/>
    </row>
    <row r="182" spans="1:67" s="4" customFormat="1" ht="66" x14ac:dyDescent="0.25">
      <c r="A182" s="89" t="s">
        <v>360</v>
      </c>
      <c r="B182" s="16" t="s">
        <v>209</v>
      </c>
      <c r="C182" s="65" t="s">
        <v>361</v>
      </c>
      <c r="D182" s="54">
        <v>0</v>
      </c>
      <c r="E182" s="54">
        <v>11863.52</v>
      </c>
      <c r="F182" s="54">
        <f t="shared" si="23"/>
        <v>11863.52</v>
      </c>
      <c r="G182" s="12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22"/>
      <c r="X182" s="3"/>
      <c r="Y182" s="3"/>
      <c r="Z182" s="3"/>
      <c r="AA182" s="3"/>
      <c r="AD182" s="5"/>
      <c r="AE182" s="5"/>
      <c r="AF182" s="5"/>
      <c r="AG182" s="5"/>
      <c r="AH182" s="5"/>
      <c r="AI182" s="5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BN182" s="3"/>
      <c r="BO182" s="3"/>
    </row>
    <row r="183" spans="1:67" s="4" customFormat="1" ht="66" x14ac:dyDescent="0.25">
      <c r="A183" s="89" t="s">
        <v>360</v>
      </c>
      <c r="B183" s="16" t="s">
        <v>79</v>
      </c>
      <c r="C183" s="65" t="s">
        <v>361</v>
      </c>
      <c r="D183" s="54">
        <f>151.2+5000</f>
        <v>5151.2</v>
      </c>
      <c r="E183" s="54">
        <v>8658.2000000000007</v>
      </c>
      <c r="F183" s="54">
        <f t="shared" si="23"/>
        <v>3507.0000000000009</v>
      </c>
      <c r="G183" s="125">
        <f t="shared" si="22"/>
        <v>168.08122379251438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22"/>
      <c r="X183" s="3"/>
      <c r="Y183" s="3"/>
      <c r="Z183" s="3"/>
      <c r="AA183" s="3"/>
      <c r="AD183" s="5"/>
      <c r="AE183" s="5"/>
      <c r="AF183" s="5"/>
      <c r="AG183" s="5"/>
      <c r="AH183" s="5"/>
      <c r="AI183" s="5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BN183" s="3"/>
      <c r="BO183" s="3"/>
    </row>
    <row r="184" spans="1:67" s="4" customFormat="1" ht="79.2" x14ac:dyDescent="0.25">
      <c r="A184" s="80" t="s">
        <v>212</v>
      </c>
      <c r="B184" s="16" t="s">
        <v>5</v>
      </c>
      <c r="C184" s="17" t="s">
        <v>213</v>
      </c>
      <c r="D184" s="54">
        <f>+D186+D187+D189+D185+D188</f>
        <v>5537916.5300000003</v>
      </c>
      <c r="E184" s="54">
        <f>+E186+E187+E189+E185+E188</f>
        <v>5787070.6100000003</v>
      </c>
      <c r="F184" s="54">
        <f t="shared" si="23"/>
        <v>249154.08000000007</v>
      </c>
      <c r="G184" s="125">
        <f t="shared" si="22"/>
        <v>104.49905806001738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22"/>
      <c r="X184" s="3"/>
      <c r="Y184" s="3"/>
      <c r="Z184" s="3"/>
      <c r="AA184" s="3"/>
      <c r="AD184" s="5"/>
      <c r="AE184" s="5"/>
      <c r="AF184" s="5"/>
      <c r="AG184" s="5"/>
      <c r="AH184" s="5"/>
      <c r="AI184" s="5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BN184" s="3"/>
      <c r="BO184" s="3"/>
    </row>
    <row r="185" spans="1:67" s="4" customFormat="1" ht="66" x14ac:dyDescent="0.25">
      <c r="A185" s="80" t="s">
        <v>444</v>
      </c>
      <c r="B185" s="16" t="s">
        <v>77</v>
      </c>
      <c r="C185" s="17" t="s">
        <v>447</v>
      </c>
      <c r="D185" s="54">
        <v>24504</v>
      </c>
      <c r="E185" s="54">
        <v>24504</v>
      </c>
      <c r="F185" s="54">
        <f t="shared" si="23"/>
        <v>0</v>
      </c>
      <c r="G185" s="125">
        <f t="shared" si="22"/>
        <v>100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22"/>
      <c r="X185" s="3"/>
      <c r="Y185" s="3"/>
      <c r="Z185" s="3"/>
      <c r="AA185" s="3"/>
      <c r="AD185" s="5"/>
      <c r="AE185" s="5"/>
      <c r="AF185" s="5"/>
      <c r="AG185" s="5"/>
      <c r="AH185" s="5"/>
      <c r="AI185" s="5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BN185" s="3"/>
      <c r="BO185" s="3"/>
    </row>
    <row r="186" spans="1:67" s="4" customFormat="1" ht="70.5" customHeight="1" x14ac:dyDescent="0.25">
      <c r="A186" s="80" t="s">
        <v>446</v>
      </c>
      <c r="B186" s="16" t="s">
        <v>77</v>
      </c>
      <c r="C186" s="17" t="s">
        <v>214</v>
      </c>
      <c r="D186" s="54">
        <f>384085-22908-100000+102000</f>
        <v>363177</v>
      </c>
      <c r="E186" s="54">
        <v>366423.99</v>
      </c>
      <c r="F186" s="54">
        <f t="shared" si="23"/>
        <v>3246.9899999999907</v>
      </c>
      <c r="G186" s="125">
        <f t="shared" si="22"/>
        <v>100.89405166076044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22"/>
      <c r="X186" s="3"/>
      <c r="Y186" s="3"/>
      <c r="Z186" s="3"/>
      <c r="AA186" s="3"/>
      <c r="AD186" s="5"/>
      <c r="AE186" s="5"/>
      <c r="AF186" s="5"/>
      <c r="AG186" s="5"/>
      <c r="AH186" s="5"/>
      <c r="AI186" s="5"/>
      <c r="AJ186" s="3"/>
      <c r="AK186" s="3"/>
      <c r="AL186" s="3"/>
      <c r="AM186" s="3"/>
      <c r="AN186" s="37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BN186" s="3"/>
      <c r="BO186" s="3"/>
    </row>
    <row r="187" spans="1:67" s="4" customFormat="1" ht="67.5" customHeight="1" x14ac:dyDescent="0.25">
      <c r="A187" s="80" t="s">
        <v>445</v>
      </c>
      <c r="B187" s="16" t="s">
        <v>77</v>
      </c>
      <c r="C187" s="17" t="s">
        <v>215</v>
      </c>
      <c r="D187" s="54">
        <f>5057659+2592748-2995150+39300</f>
        <v>4694557</v>
      </c>
      <c r="E187" s="54">
        <v>4842479.12</v>
      </c>
      <c r="F187" s="54">
        <f t="shared" si="23"/>
        <v>147922.12000000011</v>
      </c>
      <c r="G187" s="125">
        <f t="shared" si="22"/>
        <v>103.15092819194656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22"/>
      <c r="X187" s="3"/>
      <c r="Y187" s="3"/>
      <c r="Z187" s="3"/>
      <c r="AA187" s="3"/>
      <c r="AD187" s="5"/>
      <c r="AE187" s="5"/>
      <c r="AF187" s="5"/>
      <c r="AG187" s="5"/>
      <c r="AH187" s="5"/>
      <c r="AI187" s="5"/>
      <c r="AJ187" s="3"/>
      <c r="AK187" s="3"/>
      <c r="AL187" s="3"/>
      <c r="AM187" s="3"/>
      <c r="AN187" s="37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BN187" s="3"/>
      <c r="BO187" s="3"/>
    </row>
    <row r="188" spans="1:67" s="4" customFormat="1" ht="55.8" customHeight="1" x14ac:dyDescent="0.25">
      <c r="A188" s="80" t="s">
        <v>444</v>
      </c>
      <c r="B188" s="16" t="s">
        <v>209</v>
      </c>
      <c r="C188" s="17" t="s">
        <v>447</v>
      </c>
      <c r="D188" s="111">
        <f>2193.29+6000</f>
        <v>8193.2900000000009</v>
      </c>
      <c r="E188" s="111">
        <f>2193.29+6000</f>
        <v>8193.2900000000009</v>
      </c>
      <c r="F188" s="54">
        <f t="shared" si="23"/>
        <v>0</v>
      </c>
      <c r="G188" s="125">
        <f t="shared" si="22"/>
        <v>100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22"/>
      <c r="X188" s="3"/>
      <c r="Y188" s="3"/>
      <c r="Z188" s="3"/>
      <c r="AA188" s="3"/>
      <c r="AD188" s="5"/>
      <c r="AE188" s="5"/>
      <c r="AF188" s="5"/>
      <c r="AG188" s="5"/>
      <c r="AH188" s="5"/>
      <c r="AI188" s="5"/>
      <c r="AJ188" s="3"/>
      <c r="AK188" s="3"/>
      <c r="AL188" s="3"/>
      <c r="AM188" s="3"/>
      <c r="AN188" s="37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BN188" s="3"/>
      <c r="BO188" s="3"/>
    </row>
    <row r="189" spans="1:67" s="4" customFormat="1" ht="56.4" customHeight="1" x14ac:dyDescent="0.25">
      <c r="A189" s="80" t="s">
        <v>444</v>
      </c>
      <c r="B189" s="16" t="s">
        <v>79</v>
      </c>
      <c r="C189" s="17" t="s">
        <v>447</v>
      </c>
      <c r="D189" s="112">
        <f>25451.96+360228.65+61804.63</f>
        <v>447485.24000000005</v>
      </c>
      <c r="E189" s="54">
        <v>545470.21</v>
      </c>
      <c r="F189" s="54">
        <f t="shared" si="23"/>
        <v>97984.969999999914</v>
      </c>
      <c r="G189" s="125">
        <f t="shared" si="22"/>
        <v>121.89680490914068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22"/>
      <c r="X189" s="3"/>
      <c r="Y189" s="3"/>
      <c r="Z189" s="3"/>
      <c r="AA189" s="3"/>
      <c r="AD189" s="5"/>
      <c r="AE189" s="5"/>
      <c r="AF189" s="5"/>
      <c r="AG189" s="5"/>
      <c r="AH189" s="5"/>
      <c r="AI189" s="5"/>
      <c r="AJ189" s="3"/>
      <c r="AK189" s="3"/>
      <c r="AL189" s="3"/>
      <c r="AM189" s="3"/>
      <c r="AN189" s="37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BN189" s="3"/>
      <c r="BO189" s="3"/>
    </row>
    <row r="190" spans="1:67" s="4" customFormat="1" ht="13.2" x14ac:dyDescent="0.25">
      <c r="A190" s="88" t="s">
        <v>216</v>
      </c>
      <c r="B190" s="16" t="s">
        <v>5</v>
      </c>
      <c r="C190" s="38" t="s">
        <v>217</v>
      </c>
      <c r="D190" s="54">
        <f>+D198+D191+D195</f>
        <v>182017.08000000002</v>
      </c>
      <c r="E190" s="54">
        <f>+E198+E191+E195</f>
        <v>101356.92</v>
      </c>
      <c r="F190" s="54">
        <f t="shared" si="23"/>
        <v>-80660.160000000018</v>
      </c>
      <c r="G190" s="125">
        <f t="shared" si="22"/>
        <v>55.68538952498303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22"/>
      <c r="X190" s="3"/>
      <c r="Y190" s="3"/>
      <c r="Z190" s="3"/>
      <c r="AA190" s="3"/>
      <c r="AD190" s="5"/>
      <c r="AE190" s="5"/>
      <c r="AF190" s="5"/>
      <c r="AG190" s="5"/>
      <c r="AH190" s="5"/>
      <c r="AI190" s="5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BN190" s="3"/>
      <c r="BO190" s="3"/>
    </row>
    <row r="191" spans="1:67" s="4" customFormat="1" ht="69.599999999999994" customHeight="1" x14ac:dyDescent="0.25">
      <c r="A191" s="88" t="s">
        <v>448</v>
      </c>
      <c r="B191" s="16" t="s">
        <v>5</v>
      </c>
      <c r="C191" s="38" t="s">
        <v>449</v>
      </c>
      <c r="D191" s="54">
        <f>+D192+D193+D194</f>
        <v>145402.69</v>
      </c>
      <c r="E191" s="54">
        <f t="shared" ref="E191" si="33">+E192+E193+E194</f>
        <v>66494.240000000005</v>
      </c>
      <c r="F191" s="54">
        <f t="shared" si="23"/>
        <v>-78908.45</v>
      </c>
      <c r="G191" s="125">
        <f t="shared" si="22"/>
        <v>45.731093420623793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22"/>
      <c r="X191" s="3"/>
      <c r="Y191" s="3"/>
      <c r="Z191" s="3"/>
      <c r="AA191" s="3"/>
      <c r="AD191" s="5"/>
      <c r="AE191" s="5"/>
      <c r="AF191" s="5"/>
      <c r="AG191" s="5"/>
      <c r="AH191" s="5"/>
      <c r="AI191" s="5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BN191" s="3"/>
      <c r="BO191" s="3"/>
    </row>
    <row r="192" spans="1:67" s="4" customFormat="1" ht="39.6" x14ac:dyDescent="0.25">
      <c r="A192" s="88" t="s">
        <v>450</v>
      </c>
      <c r="B192" s="16" t="s">
        <v>79</v>
      </c>
      <c r="C192" s="77" t="s">
        <v>451</v>
      </c>
      <c r="D192" s="112">
        <v>17434.97</v>
      </c>
      <c r="E192" s="54">
        <v>17518.990000000002</v>
      </c>
      <c r="F192" s="54">
        <f t="shared" si="23"/>
        <v>84.020000000000437</v>
      </c>
      <c r="G192" s="125">
        <f t="shared" si="22"/>
        <v>100.48190504486098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22"/>
      <c r="X192" s="3"/>
      <c r="Y192" s="3"/>
      <c r="Z192" s="3"/>
      <c r="AA192" s="3"/>
      <c r="AD192" s="5"/>
      <c r="AE192" s="5"/>
      <c r="AF192" s="5"/>
      <c r="AG192" s="5"/>
      <c r="AH192" s="5"/>
      <c r="AI192" s="5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BN192" s="3"/>
      <c r="BO192" s="3"/>
    </row>
    <row r="193" spans="1:67" s="4" customFormat="1" ht="52.8" x14ac:dyDescent="0.25">
      <c r="A193" s="88" t="s">
        <v>452</v>
      </c>
      <c r="B193" s="16" t="s">
        <v>209</v>
      </c>
      <c r="C193" s="38" t="s">
        <v>453</v>
      </c>
      <c r="D193" s="112">
        <f>13751.02+5614.6</f>
        <v>19365.620000000003</v>
      </c>
      <c r="E193" s="112">
        <f>13751.02+5614.6</f>
        <v>19365.620000000003</v>
      </c>
      <c r="F193" s="54">
        <f t="shared" si="23"/>
        <v>0</v>
      </c>
      <c r="G193" s="125">
        <f t="shared" si="22"/>
        <v>100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22"/>
      <c r="X193" s="3"/>
      <c r="Y193" s="3"/>
      <c r="Z193" s="3"/>
      <c r="AA193" s="3"/>
      <c r="AD193" s="5"/>
      <c r="AE193" s="5"/>
      <c r="AF193" s="5"/>
      <c r="AG193" s="5"/>
      <c r="AH193" s="5"/>
      <c r="AI193" s="5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BN193" s="3"/>
      <c r="BO193" s="3"/>
    </row>
    <row r="194" spans="1:67" s="4" customFormat="1" ht="52.8" x14ac:dyDescent="0.25">
      <c r="A194" s="88" t="s">
        <v>452</v>
      </c>
      <c r="B194" s="16" t="s">
        <v>79</v>
      </c>
      <c r="C194" s="38" t="s">
        <v>453</v>
      </c>
      <c r="D194" s="112">
        <v>108602.1</v>
      </c>
      <c r="E194" s="54">
        <v>29609.63</v>
      </c>
      <c r="F194" s="54">
        <f t="shared" si="23"/>
        <v>-78992.47</v>
      </c>
      <c r="G194" s="125">
        <f t="shared" si="22"/>
        <v>27.264325459636602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22"/>
      <c r="X194" s="3"/>
      <c r="Y194" s="3"/>
      <c r="Z194" s="3"/>
      <c r="AA194" s="3"/>
      <c r="AD194" s="5"/>
      <c r="AE194" s="5"/>
      <c r="AF194" s="5"/>
      <c r="AG194" s="5"/>
      <c r="AH194" s="5"/>
      <c r="AI194" s="5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BN194" s="3"/>
      <c r="BO194" s="3"/>
    </row>
    <row r="195" spans="1:67" s="4" customFormat="1" ht="39.6" x14ac:dyDescent="0.25">
      <c r="A195" s="81" t="s">
        <v>468</v>
      </c>
      <c r="B195" s="16" t="s">
        <v>5</v>
      </c>
      <c r="C195" s="71" t="s">
        <v>470</v>
      </c>
      <c r="D195" s="112">
        <f>+D196+D197</f>
        <v>28614.39</v>
      </c>
      <c r="E195" s="112">
        <f t="shared" ref="E195" si="34">+E196+E197</f>
        <v>28614.39</v>
      </c>
      <c r="F195" s="54">
        <f t="shared" si="23"/>
        <v>0</v>
      </c>
      <c r="G195" s="125">
        <f t="shared" si="22"/>
        <v>100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22"/>
      <c r="X195" s="3"/>
      <c r="Y195" s="3"/>
      <c r="Z195" s="3"/>
      <c r="AA195" s="3"/>
      <c r="AD195" s="5"/>
      <c r="AE195" s="5"/>
      <c r="AF195" s="5"/>
      <c r="AG195" s="5"/>
      <c r="AH195" s="5"/>
      <c r="AI195" s="5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BN195" s="3"/>
      <c r="BO195" s="3"/>
    </row>
    <row r="196" spans="1:67" s="4" customFormat="1" ht="52.8" x14ac:dyDescent="0.25">
      <c r="A196" s="81" t="s">
        <v>469</v>
      </c>
      <c r="B196" s="16" t="s">
        <v>253</v>
      </c>
      <c r="C196" s="71" t="s">
        <v>471</v>
      </c>
      <c r="D196" s="112">
        <f>9552.5+1020</f>
        <v>10572.5</v>
      </c>
      <c r="E196" s="112">
        <f>9552.5+1020</f>
        <v>10572.5</v>
      </c>
      <c r="F196" s="54">
        <f t="shared" si="23"/>
        <v>0</v>
      </c>
      <c r="G196" s="125">
        <f t="shared" si="22"/>
        <v>100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22"/>
      <c r="X196" s="3"/>
      <c r="Y196" s="3"/>
      <c r="Z196" s="3"/>
      <c r="AA196" s="3"/>
      <c r="AD196" s="5"/>
      <c r="AE196" s="5"/>
      <c r="AF196" s="5"/>
      <c r="AG196" s="5"/>
      <c r="AH196" s="5"/>
      <c r="AI196" s="5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BN196" s="3"/>
      <c r="BO196" s="3"/>
    </row>
    <row r="197" spans="1:67" s="4" customFormat="1" ht="52.8" x14ac:dyDescent="0.25">
      <c r="A197" s="81" t="s">
        <v>469</v>
      </c>
      <c r="B197" s="16" t="s">
        <v>79</v>
      </c>
      <c r="C197" s="71" t="s">
        <v>471</v>
      </c>
      <c r="D197" s="112">
        <v>18041.89</v>
      </c>
      <c r="E197" s="112">
        <v>18041.89</v>
      </c>
      <c r="F197" s="54">
        <f t="shared" si="23"/>
        <v>0</v>
      </c>
      <c r="G197" s="125">
        <f t="shared" si="22"/>
        <v>100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22"/>
      <c r="X197" s="3"/>
      <c r="Y197" s="3"/>
      <c r="Z197" s="3"/>
      <c r="AA197" s="3"/>
      <c r="AD197" s="5"/>
      <c r="AE197" s="5"/>
      <c r="AF197" s="5"/>
      <c r="AG197" s="5"/>
      <c r="AH197" s="5"/>
      <c r="AI197" s="5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BN197" s="3"/>
      <c r="BO197" s="3"/>
    </row>
    <row r="198" spans="1:67" s="4" customFormat="1" ht="57.6" customHeight="1" x14ac:dyDescent="0.25">
      <c r="A198" s="80" t="s">
        <v>218</v>
      </c>
      <c r="B198" s="16" t="s">
        <v>5</v>
      </c>
      <c r="C198" s="17" t="s">
        <v>219</v>
      </c>
      <c r="D198" s="54">
        <f>+D199+D204</f>
        <v>8000</v>
      </c>
      <c r="E198" s="54">
        <f>+E199+E204</f>
        <v>6248.2900000000009</v>
      </c>
      <c r="F198" s="54">
        <f t="shared" si="23"/>
        <v>-1751.7099999999991</v>
      </c>
      <c r="G198" s="125">
        <f t="shared" si="22"/>
        <v>78.103625000000008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22"/>
      <c r="X198" s="3"/>
      <c r="Y198" s="3"/>
      <c r="Z198" s="3"/>
      <c r="AA198" s="3"/>
      <c r="AD198" s="5"/>
      <c r="AE198" s="5"/>
      <c r="AF198" s="5"/>
      <c r="AG198" s="5"/>
      <c r="AH198" s="5"/>
      <c r="AI198" s="5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BN198" s="3"/>
      <c r="BO198" s="3"/>
    </row>
    <row r="199" spans="1:67" s="4" customFormat="1" ht="52.8" x14ac:dyDescent="0.25">
      <c r="A199" s="80" t="s">
        <v>296</v>
      </c>
      <c r="B199" s="16" t="s">
        <v>5</v>
      </c>
      <c r="C199" s="17" t="s">
        <v>221</v>
      </c>
      <c r="D199" s="54">
        <f>+D203+D200+D202</f>
        <v>2000</v>
      </c>
      <c r="E199" s="54">
        <f>+E203+E200+E201+E202</f>
        <v>1723.2900000000009</v>
      </c>
      <c r="F199" s="54">
        <f t="shared" si="23"/>
        <v>-276.70999999999913</v>
      </c>
      <c r="G199" s="125">
        <f t="shared" ref="G199:G262" si="35">E199/D199*100</f>
        <v>86.164500000000046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22"/>
      <c r="X199" s="3"/>
      <c r="Y199" s="3"/>
      <c r="Z199" s="3"/>
      <c r="AA199" s="3"/>
      <c r="AD199" s="5"/>
      <c r="AE199" s="5"/>
      <c r="AF199" s="5"/>
      <c r="AG199" s="5"/>
      <c r="AH199" s="5"/>
      <c r="AI199" s="5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BN199" s="3"/>
      <c r="BO199" s="3"/>
    </row>
    <row r="200" spans="1:67" s="4" customFormat="1" ht="54" customHeight="1" x14ac:dyDescent="0.25">
      <c r="A200" s="80" t="s">
        <v>296</v>
      </c>
      <c r="B200" s="16" t="s">
        <v>575</v>
      </c>
      <c r="C200" s="17" t="s">
        <v>221</v>
      </c>
      <c r="D200" s="54">
        <v>0</v>
      </c>
      <c r="E200" s="54">
        <v>11010</v>
      </c>
      <c r="F200" s="54">
        <f t="shared" ref="F200:F263" si="36">+E200-D200</f>
        <v>11010</v>
      </c>
      <c r="G200" s="12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22"/>
      <c r="X200" s="3"/>
      <c r="Y200" s="3"/>
      <c r="Z200" s="3"/>
      <c r="AA200" s="3"/>
      <c r="AD200" s="5"/>
      <c r="AE200" s="5"/>
      <c r="AF200" s="5"/>
      <c r="AG200" s="5"/>
      <c r="AH200" s="5"/>
      <c r="AI200" s="5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BN200" s="3"/>
      <c r="BO200" s="3"/>
    </row>
    <row r="201" spans="1:67" s="4" customFormat="1" ht="53.25" customHeight="1" x14ac:dyDescent="0.25">
      <c r="A201" s="80" t="s">
        <v>296</v>
      </c>
      <c r="B201" s="16" t="s">
        <v>576</v>
      </c>
      <c r="C201" s="17" t="s">
        <v>221</v>
      </c>
      <c r="D201" s="54">
        <v>0</v>
      </c>
      <c r="E201" s="54">
        <v>-287.23</v>
      </c>
      <c r="F201" s="54">
        <f t="shared" si="36"/>
        <v>-287.23</v>
      </c>
      <c r="G201" s="12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22"/>
      <c r="X201" s="3"/>
      <c r="Y201" s="3"/>
      <c r="Z201" s="3"/>
      <c r="AA201" s="3"/>
      <c r="AD201" s="5"/>
      <c r="AE201" s="5"/>
      <c r="AF201" s="5"/>
      <c r="AG201" s="5"/>
      <c r="AH201" s="5"/>
      <c r="AI201" s="5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BN201" s="3"/>
      <c r="BO201" s="3"/>
    </row>
    <row r="202" spans="1:67" s="4" customFormat="1" ht="53.25" customHeight="1" x14ac:dyDescent="0.25">
      <c r="A202" s="80" t="s">
        <v>296</v>
      </c>
      <c r="B202" s="16" t="s">
        <v>209</v>
      </c>
      <c r="C202" s="17" t="s">
        <v>221</v>
      </c>
      <c r="D202" s="54">
        <v>0</v>
      </c>
      <c r="E202" s="54">
        <v>-8999.48</v>
      </c>
      <c r="F202" s="54">
        <f t="shared" si="36"/>
        <v>-8999.48</v>
      </c>
      <c r="G202" s="125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22"/>
      <c r="X202" s="3"/>
      <c r="Y202" s="3"/>
      <c r="Z202" s="3"/>
      <c r="AA202" s="3"/>
      <c r="AD202" s="5"/>
      <c r="AE202" s="5"/>
      <c r="AF202" s="5"/>
      <c r="AG202" s="5"/>
      <c r="AH202" s="5"/>
      <c r="AI202" s="5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BN202" s="3"/>
      <c r="BO202" s="3"/>
    </row>
    <row r="203" spans="1:67" s="4" customFormat="1" ht="118.8" x14ac:dyDescent="0.25">
      <c r="A203" s="80" t="s">
        <v>220</v>
      </c>
      <c r="B203" s="16" t="s">
        <v>336</v>
      </c>
      <c r="C203" s="17" t="s">
        <v>222</v>
      </c>
      <c r="D203" s="54">
        <v>2000</v>
      </c>
      <c r="E203" s="54">
        <v>0</v>
      </c>
      <c r="F203" s="54">
        <f t="shared" si="36"/>
        <v>-2000</v>
      </c>
      <c r="G203" s="125">
        <f t="shared" si="35"/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22"/>
      <c r="X203" s="3"/>
      <c r="Y203" s="3"/>
      <c r="Z203" s="3"/>
      <c r="AA203" s="3"/>
      <c r="AD203" s="5"/>
      <c r="AE203" s="5"/>
      <c r="AF203" s="5"/>
      <c r="AG203" s="5"/>
      <c r="AH203" s="5"/>
      <c r="AI203" s="5"/>
      <c r="AJ203" s="3"/>
      <c r="AK203" s="3"/>
      <c r="AL203" s="3"/>
      <c r="AM203" s="3"/>
      <c r="AN203" s="35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BN203" s="3"/>
      <c r="BO203" s="3"/>
    </row>
    <row r="204" spans="1:67" s="4" customFormat="1" ht="66" x14ac:dyDescent="0.25">
      <c r="A204" s="79" t="s">
        <v>479</v>
      </c>
      <c r="B204" s="16" t="s">
        <v>12</v>
      </c>
      <c r="C204" s="71" t="s">
        <v>480</v>
      </c>
      <c r="D204" s="54">
        <f>3925+2075</f>
        <v>6000</v>
      </c>
      <c r="E204" s="54">
        <v>4525</v>
      </c>
      <c r="F204" s="54">
        <f t="shared" si="36"/>
        <v>-1475</v>
      </c>
      <c r="G204" s="125">
        <f t="shared" si="35"/>
        <v>75.416666666666671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22"/>
      <c r="X204" s="3"/>
      <c r="Y204" s="3"/>
      <c r="Z204" s="3"/>
      <c r="AA204" s="3"/>
      <c r="AD204" s="5"/>
      <c r="AE204" s="5"/>
      <c r="AF204" s="5"/>
      <c r="AG204" s="5"/>
      <c r="AH204" s="5"/>
      <c r="AI204" s="5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BN204" s="3"/>
      <c r="BO204" s="3"/>
    </row>
    <row r="205" spans="1:67" s="4" customFormat="1" ht="13.2" x14ac:dyDescent="0.25">
      <c r="A205" s="80" t="s">
        <v>223</v>
      </c>
      <c r="B205" s="36" t="s">
        <v>5</v>
      </c>
      <c r="C205" s="119" t="s">
        <v>224</v>
      </c>
      <c r="D205" s="54">
        <f>+D206</f>
        <v>646182</v>
      </c>
      <c r="E205" s="54">
        <f>+E206</f>
        <v>224626.14</v>
      </c>
      <c r="F205" s="54">
        <f t="shared" si="36"/>
        <v>-421555.86</v>
      </c>
      <c r="G205" s="125">
        <f t="shared" si="35"/>
        <v>34.76205465333296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22"/>
      <c r="X205" s="3"/>
      <c r="Y205" s="3"/>
      <c r="Z205" s="3"/>
      <c r="AA205" s="3"/>
      <c r="AD205" s="5"/>
      <c r="AE205" s="5"/>
      <c r="AF205" s="5"/>
      <c r="AG205" s="5"/>
      <c r="AH205" s="5"/>
      <c r="AI205" s="5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BN205" s="3"/>
      <c r="BO205" s="3"/>
    </row>
    <row r="206" spans="1:67" s="4" customFormat="1" ht="26.4" x14ac:dyDescent="0.25">
      <c r="A206" s="80" t="s">
        <v>225</v>
      </c>
      <c r="B206" s="36" t="s">
        <v>5</v>
      </c>
      <c r="C206" s="119" t="s">
        <v>226</v>
      </c>
      <c r="D206" s="54">
        <f t="shared" ref="D206:E206" si="37">+D207</f>
        <v>646182</v>
      </c>
      <c r="E206" s="54">
        <f t="shared" si="37"/>
        <v>224626.14</v>
      </c>
      <c r="F206" s="54">
        <f t="shared" si="36"/>
        <v>-421555.86</v>
      </c>
      <c r="G206" s="125">
        <f t="shared" si="35"/>
        <v>34.76205465333296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22"/>
      <c r="X206" s="3"/>
      <c r="Y206" s="3"/>
      <c r="Z206" s="3"/>
      <c r="AA206" s="3"/>
      <c r="AD206" s="5"/>
      <c r="AE206" s="5"/>
      <c r="AF206" s="5"/>
      <c r="AG206" s="5"/>
      <c r="AH206" s="5"/>
      <c r="AI206" s="5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BN206" s="3"/>
      <c r="BO206" s="3"/>
    </row>
    <row r="207" spans="1:67" s="4" customFormat="1" ht="52.8" x14ac:dyDescent="0.25">
      <c r="A207" s="80" t="s">
        <v>227</v>
      </c>
      <c r="B207" s="36" t="s">
        <v>79</v>
      </c>
      <c r="C207" s="119" t="s">
        <v>228</v>
      </c>
      <c r="D207" s="54">
        <f>501000+145182</f>
        <v>646182</v>
      </c>
      <c r="E207" s="54">
        <v>224626.14</v>
      </c>
      <c r="F207" s="54">
        <f t="shared" si="36"/>
        <v>-421555.86</v>
      </c>
      <c r="G207" s="125">
        <f t="shared" si="35"/>
        <v>34.76205465333296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22"/>
      <c r="X207" s="3"/>
      <c r="Y207" s="3"/>
      <c r="Z207" s="3"/>
      <c r="AA207" s="3"/>
      <c r="AD207" s="5"/>
      <c r="AE207" s="5"/>
      <c r="AF207" s="5"/>
      <c r="AG207" s="5"/>
      <c r="AH207" s="5"/>
      <c r="AI207" s="5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BN207" s="3"/>
      <c r="BO207" s="3"/>
    </row>
    <row r="208" spans="1:67" s="4" customFormat="1" ht="91.5" customHeight="1" x14ac:dyDescent="0.25">
      <c r="A208" s="80" t="s">
        <v>363</v>
      </c>
      <c r="B208" s="36" t="s">
        <v>5</v>
      </c>
      <c r="C208" s="119" t="s">
        <v>362</v>
      </c>
      <c r="D208" s="54">
        <f>D209</f>
        <v>2000000</v>
      </c>
      <c r="E208" s="54">
        <f t="shared" ref="E208" si="38">E209</f>
        <v>1382340.39</v>
      </c>
      <c r="F208" s="54">
        <f t="shared" si="36"/>
        <v>-617659.6100000001</v>
      </c>
      <c r="G208" s="125">
        <f t="shared" si="35"/>
        <v>69.117019499999998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22"/>
      <c r="X208" s="3"/>
      <c r="Y208" s="3"/>
      <c r="Z208" s="3"/>
      <c r="AA208" s="3"/>
      <c r="AD208" s="5"/>
      <c r="AE208" s="5"/>
      <c r="AF208" s="5"/>
      <c r="AG208" s="5"/>
      <c r="AH208" s="5"/>
      <c r="AI208" s="5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BN208" s="3"/>
      <c r="BO208" s="3"/>
    </row>
    <row r="209" spans="1:67" s="4" customFormat="1" ht="92.4" x14ac:dyDescent="0.25">
      <c r="A209" s="80" t="s">
        <v>363</v>
      </c>
      <c r="B209" s="36" t="s">
        <v>12</v>
      </c>
      <c r="C209" s="119" t="s">
        <v>362</v>
      </c>
      <c r="D209" s="54">
        <f>2000000</f>
        <v>2000000</v>
      </c>
      <c r="E209" s="54">
        <v>1382340.39</v>
      </c>
      <c r="F209" s="54">
        <f t="shared" si="36"/>
        <v>-617659.6100000001</v>
      </c>
      <c r="G209" s="125">
        <f t="shared" si="35"/>
        <v>69.117019499999998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22"/>
      <c r="X209" s="3"/>
      <c r="Y209" s="3"/>
      <c r="Z209" s="3"/>
      <c r="AA209" s="3"/>
      <c r="AD209" s="5"/>
      <c r="AE209" s="5"/>
      <c r="AF209" s="5"/>
      <c r="AG209" s="5"/>
      <c r="AH209" s="5"/>
      <c r="AI209" s="5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BN209" s="3"/>
      <c r="BO209" s="3"/>
    </row>
    <row r="210" spans="1:67" s="4" customFormat="1" x14ac:dyDescent="0.25">
      <c r="A210" s="80" t="s">
        <v>229</v>
      </c>
      <c r="B210" s="16" t="s">
        <v>5</v>
      </c>
      <c r="C210" s="17" t="s">
        <v>230</v>
      </c>
      <c r="D210" s="54">
        <f>+D215+D218</f>
        <v>3735312.5</v>
      </c>
      <c r="E210" s="54">
        <f>+E215+E218+E211</f>
        <v>3543380.42</v>
      </c>
      <c r="F210" s="54">
        <f t="shared" si="36"/>
        <v>-191932.08000000007</v>
      </c>
      <c r="G210" s="125">
        <f t="shared" si="35"/>
        <v>94.861686137371365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22"/>
      <c r="X210" s="3"/>
      <c r="Y210" s="3"/>
      <c r="Z210" s="3"/>
      <c r="AA210" s="3"/>
      <c r="AD210" s="5"/>
      <c r="AE210" s="5"/>
      <c r="AF210" s="5"/>
      <c r="AG210" s="5"/>
      <c r="AH210" s="5"/>
      <c r="AI210" s="5"/>
      <c r="AJ210" s="3"/>
      <c r="AK210" s="3"/>
      <c r="AL210" s="3"/>
      <c r="AM210" s="3"/>
      <c r="AN210" s="3"/>
      <c r="AO210" s="3"/>
      <c r="AP210" s="3"/>
      <c r="AQ210" s="3"/>
      <c r="AR210" s="3"/>
      <c r="AS210" s="6"/>
      <c r="AT210" s="6"/>
      <c r="AU210" s="3"/>
      <c r="AV210" s="3"/>
      <c r="AW210" s="3"/>
      <c r="AX210" s="3"/>
      <c r="BN210" s="3"/>
      <c r="BO210" s="3"/>
    </row>
    <row r="211" spans="1:67" s="4" customFormat="1" x14ac:dyDescent="0.25">
      <c r="A211" s="80" t="s">
        <v>558</v>
      </c>
      <c r="B211" s="16" t="s">
        <v>5</v>
      </c>
      <c r="C211" s="17" t="s">
        <v>555</v>
      </c>
      <c r="D211" s="54">
        <f>D212+D213+D214</f>
        <v>0</v>
      </c>
      <c r="E211" s="54">
        <f>E212+E213+E214</f>
        <v>-249051.65</v>
      </c>
      <c r="F211" s="54">
        <f t="shared" si="36"/>
        <v>-249051.65</v>
      </c>
      <c r="G211" s="12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22"/>
      <c r="X211" s="3"/>
      <c r="Y211" s="3"/>
      <c r="Z211" s="3"/>
      <c r="AA211" s="3"/>
      <c r="AD211" s="5"/>
      <c r="AE211" s="5"/>
      <c r="AF211" s="5"/>
      <c r="AG211" s="5"/>
      <c r="AH211" s="5"/>
      <c r="AI211" s="5"/>
      <c r="AJ211" s="3"/>
      <c r="AK211" s="3"/>
      <c r="AL211" s="3"/>
      <c r="AM211" s="3"/>
      <c r="AN211" s="3"/>
      <c r="AO211" s="3"/>
      <c r="AP211" s="3"/>
      <c r="AQ211" s="3"/>
      <c r="AR211" s="3"/>
      <c r="AS211" s="6"/>
      <c r="AT211" s="6"/>
      <c r="AU211" s="3"/>
      <c r="AV211" s="3"/>
      <c r="AW211" s="3"/>
      <c r="AX211" s="3"/>
      <c r="BN211" s="3"/>
      <c r="BO211" s="3"/>
    </row>
    <row r="212" spans="1:67" s="4" customFormat="1" ht="26.4" x14ac:dyDescent="0.25">
      <c r="A212" s="80" t="s">
        <v>557</v>
      </c>
      <c r="B212" s="16" t="s">
        <v>77</v>
      </c>
      <c r="C212" s="17" t="s">
        <v>556</v>
      </c>
      <c r="D212" s="54">
        <v>0</v>
      </c>
      <c r="E212" s="54">
        <v>50</v>
      </c>
      <c r="F212" s="54">
        <f t="shared" si="36"/>
        <v>50</v>
      </c>
      <c r="G212" s="12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22"/>
      <c r="X212" s="3"/>
      <c r="Y212" s="3"/>
      <c r="Z212" s="3"/>
      <c r="AA212" s="3"/>
      <c r="AD212" s="5"/>
      <c r="AE212" s="5"/>
      <c r="AF212" s="5"/>
      <c r="AG212" s="5"/>
      <c r="AH212" s="5"/>
      <c r="AI212" s="5"/>
      <c r="AJ212" s="3"/>
      <c r="AK212" s="3"/>
      <c r="AL212" s="3"/>
      <c r="AM212" s="3"/>
      <c r="AN212" s="3"/>
      <c r="AO212" s="3"/>
      <c r="AP212" s="3"/>
      <c r="AQ212" s="3"/>
      <c r="AR212" s="3"/>
      <c r="AS212" s="6"/>
      <c r="AT212" s="6"/>
      <c r="AU212" s="3"/>
      <c r="AV212" s="3"/>
      <c r="AW212" s="3"/>
      <c r="AX212" s="3"/>
      <c r="BN212" s="3"/>
      <c r="BO212" s="3"/>
    </row>
    <row r="213" spans="1:67" s="4" customFormat="1" ht="26.4" x14ac:dyDescent="0.25">
      <c r="A213" s="80" t="s">
        <v>557</v>
      </c>
      <c r="B213" s="16" t="s">
        <v>209</v>
      </c>
      <c r="C213" s="17" t="s">
        <v>556</v>
      </c>
      <c r="D213" s="54">
        <v>0</v>
      </c>
      <c r="E213" s="54">
        <v>-13751.02</v>
      </c>
      <c r="F213" s="54">
        <f t="shared" si="36"/>
        <v>-13751.02</v>
      </c>
      <c r="G213" s="12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22"/>
      <c r="X213" s="3"/>
      <c r="Y213" s="3"/>
      <c r="Z213" s="3"/>
      <c r="AA213" s="3"/>
      <c r="AD213" s="5"/>
      <c r="AE213" s="5"/>
      <c r="AF213" s="5"/>
      <c r="AG213" s="5"/>
      <c r="AH213" s="5"/>
      <c r="AI213" s="5"/>
      <c r="AJ213" s="3"/>
      <c r="AK213" s="3"/>
      <c r="AL213" s="3"/>
      <c r="AM213" s="3"/>
      <c r="AN213" s="3"/>
      <c r="AO213" s="3"/>
      <c r="AP213" s="3"/>
      <c r="AQ213" s="3"/>
      <c r="AR213" s="3"/>
      <c r="AS213" s="6"/>
      <c r="AT213" s="6"/>
      <c r="AU213" s="3"/>
      <c r="AV213" s="3"/>
      <c r="AW213" s="3"/>
      <c r="AX213" s="3"/>
      <c r="BN213" s="3"/>
      <c r="BO213" s="3"/>
    </row>
    <row r="214" spans="1:67" s="4" customFormat="1" ht="26.4" x14ac:dyDescent="0.25">
      <c r="A214" s="80" t="s">
        <v>557</v>
      </c>
      <c r="B214" s="16" t="s">
        <v>79</v>
      </c>
      <c r="C214" s="17" t="s">
        <v>556</v>
      </c>
      <c r="D214" s="54">
        <v>0</v>
      </c>
      <c r="E214" s="54">
        <v>-235350.63</v>
      </c>
      <c r="F214" s="54">
        <f t="shared" si="36"/>
        <v>-235350.63</v>
      </c>
      <c r="G214" s="12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22"/>
      <c r="X214" s="3"/>
      <c r="Y214" s="3"/>
      <c r="Z214" s="3"/>
      <c r="AA214" s="3"/>
      <c r="AD214" s="5"/>
      <c r="AE214" s="5"/>
      <c r="AF214" s="5"/>
      <c r="AG214" s="5"/>
      <c r="AH214" s="5"/>
      <c r="AI214" s="5"/>
      <c r="AJ214" s="3"/>
      <c r="AK214" s="3"/>
      <c r="AL214" s="3"/>
      <c r="AM214" s="3"/>
      <c r="AN214" s="3"/>
      <c r="AO214" s="3"/>
      <c r="AP214" s="3"/>
      <c r="AQ214" s="3"/>
      <c r="AR214" s="3"/>
      <c r="AS214" s="6"/>
      <c r="AT214" s="6"/>
      <c r="AU214" s="3"/>
      <c r="AV214" s="3"/>
      <c r="AW214" s="3"/>
      <c r="AX214" s="3"/>
      <c r="BN214" s="3"/>
      <c r="BO214" s="3"/>
    </row>
    <row r="215" spans="1:67" s="4" customFormat="1" x14ac:dyDescent="0.25">
      <c r="A215" s="80" t="s">
        <v>231</v>
      </c>
      <c r="B215" s="16" t="s">
        <v>5</v>
      </c>
      <c r="C215" s="17" t="s">
        <v>232</v>
      </c>
      <c r="D215" s="54">
        <f t="shared" ref="D215:E216" si="39">+D216</f>
        <v>674636</v>
      </c>
      <c r="E215" s="54">
        <f t="shared" si="39"/>
        <v>731755.57</v>
      </c>
      <c r="F215" s="54">
        <f t="shared" si="36"/>
        <v>57119.569999999949</v>
      </c>
      <c r="G215" s="125">
        <f t="shared" si="35"/>
        <v>108.466724277981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22"/>
      <c r="X215" s="3"/>
      <c r="Y215" s="3"/>
      <c r="Z215" s="3"/>
      <c r="AA215" s="3"/>
      <c r="AD215" s="5"/>
      <c r="AE215" s="5"/>
      <c r="AF215" s="5"/>
      <c r="AG215" s="5"/>
      <c r="AH215" s="5"/>
      <c r="AI215" s="5"/>
      <c r="AJ215" s="3"/>
      <c r="AK215" s="3"/>
      <c r="AL215" s="3"/>
      <c r="AM215" s="3"/>
      <c r="AN215" s="3"/>
      <c r="AO215" s="3"/>
      <c r="AP215" s="3"/>
      <c r="AQ215" s="3"/>
      <c r="AR215" s="3"/>
      <c r="AS215" s="6"/>
      <c r="AT215" s="6"/>
      <c r="AU215" s="3"/>
      <c r="AV215" s="3"/>
      <c r="AW215" s="3"/>
      <c r="AX215" s="3"/>
      <c r="BN215" s="3"/>
      <c r="BO215" s="3"/>
    </row>
    <row r="216" spans="1:67" s="4" customFormat="1" x14ac:dyDescent="0.25">
      <c r="A216" s="80" t="s">
        <v>233</v>
      </c>
      <c r="B216" s="16" t="s">
        <v>5</v>
      </c>
      <c r="C216" s="17" t="s">
        <v>234</v>
      </c>
      <c r="D216" s="54">
        <f t="shared" si="39"/>
        <v>674636</v>
      </c>
      <c r="E216" s="54">
        <f t="shared" si="39"/>
        <v>731755.57</v>
      </c>
      <c r="F216" s="54">
        <f t="shared" si="36"/>
        <v>57119.569999999949</v>
      </c>
      <c r="G216" s="125">
        <f t="shared" si="35"/>
        <v>108.466724277981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22"/>
      <c r="X216" s="3"/>
      <c r="Y216" s="3"/>
      <c r="Z216" s="3"/>
      <c r="AA216" s="3"/>
      <c r="AD216" s="5"/>
      <c r="AE216" s="5"/>
      <c r="AF216" s="5"/>
      <c r="AG216" s="5"/>
      <c r="AH216" s="5"/>
      <c r="AI216" s="5"/>
      <c r="AJ216" s="3"/>
      <c r="AK216" s="3"/>
      <c r="AL216" s="3"/>
      <c r="AM216" s="3"/>
      <c r="AN216" s="3"/>
      <c r="AO216" s="3"/>
      <c r="AP216" s="3"/>
      <c r="AQ216" s="3"/>
      <c r="AR216" s="3"/>
      <c r="AS216" s="6"/>
      <c r="AT216" s="6"/>
      <c r="AU216" s="3"/>
      <c r="AV216" s="3"/>
      <c r="AW216" s="3"/>
      <c r="AX216" s="3"/>
      <c r="BN216" s="3"/>
      <c r="BO216" s="3"/>
    </row>
    <row r="217" spans="1:67" s="4" customFormat="1" ht="39.6" x14ac:dyDescent="0.25">
      <c r="A217" s="78" t="s">
        <v>235</v>
      </c>
      <c r="B217" s="16" t="s">
        <v>77</v>
      </c>
      <c r="C217" s="17" t="s">
        <v>236</v>
      </c>
      <c r="D217" s="54">
        <v>674636</v>
      </c>
      <c r="E217" s="54">
        <v>731755.57</v>
      </c>
      <c r="F217" s="54">
        <f t="shared" si="36"/>
        <v>57119.569999999949</v>
      </c>
      <c r="G217" s="125">
        <f t="shared" si="35"/>
        <v>108.466724277981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22"/>
      <c r="X217" s="3"/>
      <c r="Y217" s="3"/>
      <c r="Z217" s="3"/>
      <c r="AA217" s="3"/>
      <c r="AD217" s="5"/>
      <c r="AE217" s="5"/>
      <c r="AF217" s="5"/>
      <c r="AG217" s="5"/>
      <c r="AH217" s="5"/>
      <c r="AI217" s="5"/>
      <c r="AJ217" s="3"/>
      <c r="AK217" s="3"/>
      <c r="AL217" s="3"/>
      <c r="AM217" s="3"/>
      <c r="AN217" s="3"/>
      <c r="AO217" s="3"/>
      <c r="AP217" s="3"/>
      <c r="AQ217" s="3"/>
      <c r="AR217" s="3"/>
      <c r="AS217" s="6"/>
      <c r="AT217" s="6"/>
      <c r="AU217" s="3"/>
      <c r="AV217" s="3"/>
      <c r="AW217" s="3"/>
      <c r="AX217" s="3"/>
      <c r="BN217" s="3"/>
      <c r="BO217" s="3"/>
    </row>
    <row r="218" spans="1:67" s="4" customFormat="1" x14ac:dyDescent="0.25">
      <c r="A218" s="78" t="s">
        <v>345</v>
      </c>
      <c r="B218" s="16" t="s">
        <v>5</v>
      </c>
      <c r="C218" s="17" t="s">
        <v>346</v>
      </c>
      <c r="D218" s="54">
        <f>+D219</f>
        <v>3060676.5</v>
      </c>
      <c r="E218" s="54">
        <f>+E219</f>
        <v>3060676.5</v>
      </c>
      <c r="F218" s="54">
        <f t="shared" si="36"/>
        <v>0</v>
      </c>
      <c r="G218" s="125">
        <f t="shared" si="35"/>
        <v>100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22"/>
      <c r="X218" s="3"/>
      <c r="Y218" s="3"/>
      <c r="Z218" s="3"/>
      <c r="AA218" s="3"/>
      <c r="AD218" s="5"/>
      <c r="AE218" s="5"/>
      <c r="AF218" s="5"/>
      <c r="AG218" s="5"/>
      <c r="AH218" s="5"/>
      <c r="AI218" s="5"/>
      <c r="AJ218" s="3"/>
      <c r="AK218" s="3"/>
      <c r="AL218" s="3"/>
      <c r="AM218" s="3"/>
      <c r="AN218" s="3"/>
      <c r="AO218" s="3"/>
      <c r="AP218" s="3"/>
      <c r="AQ218" s="3"/>
      <c r="AR218" s="3"/>
      <c r="AS218" s="6"/>
      <c r="AT218" s="6"/>
      <c r="AU218" s="3"/>
      <c r="AV218" s="3"/>
      <c r="AW218" s="3"/>
      <c r="AX218" s="3"/>
      <c r="BN218" s="3"/>
      <c r="BO218" s="3"/>
    </row>
    <row r="219" spans="1:67" s="4" customFormat="1" ht="22.2" customHeight="1" x14ac:dyDescent="0.25">
      <c r="A219" s="78" t="s">
        <v>347</v>
      </c>
      <c r="B219" s="16" t="s">
        <v>5</v>
      </c>
      <c r="C219" s="17" t="s">
        <v>348</v>
      </c>
      <c r="D219" s="54">
        <f>+D220+D221+D222+D223+D224+D225+D226+D227+D228+D229+D230+D231+D232+D233+D234+D235+D236+D237+D238+D239+D240+D241+D243+D242</f>
        <v>3060676.5</v>
      </c>
      <c r="E219" s="54">
        <f>+E220+E221+E222+E223+E224+E225+E226+E227+E228+E229+E230+E231+E232+E233+E234+E235+E236+E237+E238+E239+E240+E241+E243+E242</f>
        <v>3060676.5</v>
      </c>
      <c r="F219" s="54">
        <f t="shared" si="36"/>
        <v>0</v>
      </c>
      <c r="G219" s="125">
        <f t="shared" si="35"/>
        <v>100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22"/>
      <c r="X219" s="3"/>
      <c r="Y219" s="3"/>
      <c r="Z219" s="3"/>
      <c r="AA219" s="3"/>
      <c r="AD219" s="5"/>
      <c r="AE219" s="5"/>
      <c r="AF219" s="5"/>
      <c r="AG219" s="5"/>
      <c r="AH219" s="5"/>
      <c r="AI219" s="5"/>
      <c r="AJ219" s="3"/>
      <c r="AK219" s="3"/>
      <c r="AL219" s="3"/>
      <c r="AM219" s="3"/>
      <c r="AN219" s="3"/>
      <c r="AO219" s="3"/>
      <c r="AP219" s="3"/>
      <c r="AQ219" s="3"/>
      <c r="AR219" s="3"/>
      <c r="AS219" s="6"/>
      <c r="AT219" s="6"/>
      <c r="AU219" s="3"/>
      <c r="AV219" s="3"/>
      <c r="AW219" s="3"/>
      <c r="AX219" s="3"/>
      <c r="BN219" s="3"/>
      <c r="BO219" s="3"/>
    </row>
    <row r="220" spans="1:67" s="4" customFormat="1" ht="26.4" x14ac:dyDescent="0.25">
      <c r="A220" s="89" t="s">
        <v>349</v>
      </c>
      <c r="B220" s="16" t="s">
        <v>209</v>
      </c>
      <c r="C220" s="76" t="s">
        <v>417</v>
      </c>
      <c r="D220" s="54">
        <v>-225000</v>
      </c>
      <c r="E220" s="54">
        <v>-225000</v>
      </c>
      <c r="F220" s="54">
        <f t="shared" si="36"/>
        <v>0</v>
      </c>
      <c r="G220" s="125">
        <f t="shared" si="35"/>
        <v>100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122"/>
      <c r="X220" s="3"/>
      <c r="Y220" s="3"/>
      <c r="Z220" s="3"/>
      <c r="AA220" s="3"/>
      <c r="AD220" s="5"/>
      <c r="AE220" s="5"/>
      <c r="AF220" s="5"/>
      <c r="AG220" s="5"/>
      <c r="AH220" s="5"/>
      <c r="AI220" s="5"/>
      <c r="AJ220" s="3"/>
      <c r="AK220" s="3"/>
      <c r="AL220" s="3"/>
      <c r="AM220" s="3"/>
      <c r="AN220" s="3"/>
      <c r="AO220" s="3"/>
      <c r="AP220" s="3"/>
      <c r="AQ220" s="3"/>
      <c r="AR220" s="3"/>
      <c r="AS220" s="6"/>
      <c r="AT220" s="6"/>
      <c r="AU220" s="3"/>
      <c r="AV220" s="3"/>
      <c r="AW220" s="3"/>
      <c r="AX220" s="3"/>
      <c r="BN220" s="3"/>
      <c r="BO220" s="3"/>
    </row>
    <row r="221" spans="1:67" s="4" customFormat="1" ht="52.8" x14ac:dyDescent="0.25">
      <c r="A221" s="89" t="s">
        <v>350</v>
      </c>
      <c r="B221" s="16" t="s">
        <v>209</v>
      </c>
      <c r="C221" s="76" t="s">
        <v>418</v>
      </c>
      <c r="D221" s="54">
        <v>-220000</v>
      </c>
      <c r="E221" s="54">
        <v>-220000</v>
      </c>
      <c r="F221" s="54">
        <f t="shared" si="36"/>
        <v>0</v>
      </c>
      <c r="G221" s="125">
        <f t="shared" si="35"/>
        <v>100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122"/>
      <c r="X221" s="3"/>
      <c r="Y221" s="3"/>
      <c r="Z221" s="3"/>
      <c r="AA221" s="3"/>
      <c r="AD221" s="5"/>
      <c r="AE221" s="5"/>
      <c r="AF221" s="5"/>
      <c r="AG221" s="5"/>
      <c r="AH221" s="5"/>
      <c r="AI221" s="5"/>
      <c r="AJ221" s="3"/>
      <c r="AK221" s="3"/>
      <c r="AL221" s="3"/>
      <c r="AM221" s="3"/>
      <c r="AN221" s="3"/>
      <c r="AO221" s="3"/>
      <c r="AP221" s="3"/>
      <c r="AQ221" s="3"/>
      <c r="AR221" s="3"/>
      <c r="AS221" s="6"/>
      <c r="AT221" s="6"/>
      <c r="AU221" s="3"/>
      <c r="AV221" s="3"/>
      <c r="AW221" s="3"/>
      <c r="AX221" s="3"/>
      <c r="BN221" s="3"/>
      <c r="BO221" s="3"/>
    </row>
    <row r="222" spans="1:67" s="4" customFormat="1" ht="39.6" x14ac:dyDescent="0.25">
      <c r="A222" s="89" t="s">
        <v>351</v>
      </c>
      <c r="B222" s="16" t="s">
        <v>209</v>
      </c>
      <c r="C222" s="76" t="s">
        <v>419</v>
      </c>
      <c r="D222" s="54">
        <f>-100000-100328.5</f>
        <v>-200328.5</v>
      </c>
      <c r="E222" s="54">
        <f>-100000-100328.5</f>
        <v>-200328.5</v>
      </c>
      <c r="F222" s="54">
        <f t="shared" si="36"/>
        <v>0</v>
      </c>
      <c r="G222" s="125">
        <f t="shared" si="35"/>
        <v>100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122"/>
      <c r="X222" s="3"/>
      <c r="Y222" s="3"/>
      <c r="Z222" s="3"/>
      <c r="AA222" s="3"/>
      <c r="AD222" s="5"/>
      <c r="AE222" s="5"/>
      <c r="AF222" s="5"/>
      <c r="AG222" s="5"/>
      <c r="AH222" s="5"/>
      <c r="AI222" s="5"/>
      <c r="AJ222" s="3"/>
      <c r="AK222" s="3"/>
      <c r="AL222" s="3"/>
      <c r="AM222" s="3"/>
      <c r="AN222" s="3"/>
      <c r="AO222" s="3"/>
      <c r="AP222" s="3"/>
      <c r="AQ222" s="3"/>
      <c r="AR222" s="3"/>
      <c r="AS222" s="6"/>
      <c r="AT222" s="6"/>
      <c r="AU222" s="3"/>
      <c r="AV222" s="3"/>
      <c r="AW222" s="3"/>
      <c r="AX222" s="3"/>
      <c r="BN222" s="3"/>
      <c r="BO222" s="3"/>
    </row>
    <row r="223" spans="1:67" s="4" customFormat="1" ht="66" x14ac:dyDescent="0.25">
      <c r="A223" s="89" t="s">
        <v>352</v>
      </c>
      <c r="B223" s="16" t="s">
        <v>209</v>
      </c>
      <c r="C223" s="76" t="s">
        <v>420</v>
      </c>
      <c r="D223" s="54">
        <v>-224719</v>
      </c>
      <c r="E223" s="54">
        <v>-224719</v>
      </c>
      <c r="F223" s="54">
        <f t="shared" si="36"/>
        <v>0</v>
      </c>
      <c r="G223" s="125">
        <f t="shared" si="35"/>
        <v>100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122"/>
      <c r="X223" s="3"/>
      <c r="Y223" s="3"/>
      <c r="Z223" s="3"/>
      <c r="AA223" s="3"/>
      <c r="AD223" s="5"/>
      <c r="AE223" s="5"/>
      <c r="AF223" s="5"/>
      <c r="AG223" s="5"/>
      <c r="AH223" s="5"/>
      <c r="AI223" s="5"/>
      <c r="AJ223" s="3"/>
      <c r="AK223" s="3"/>
      <c r="AL223" s="3"/>
      <c r="AM223" s="3"/>
      <c r="AN223" s="3"/>
      <c r="AO223" s="3"/>
      <c r="AP223" s="3"/>
      <c r="AQ223" s="3"/>
      <c r="AR223" s="3"/>
      <c r="AS223" s="6"/>
      <c r="AT223" s="6"/>
      <c r="AU223" s="3"/>
      <c r="AV223" s="3"/>
      <c r="AW223" s="3"/>
      <c r="AX223" s="3"/>
      <c r="BN223" s="3"/>
      <c r="BO223" s="3"/>
    </row>
    <row r="224" spans="1:67" s="4" customFormat="1" ht="68.25" customHeight="1" x14ac:dyDescent="0.25">
      <c r="A224" s="89" t="s">
        <v>353</v>
      </c>
      <c r="B224" s="16" t="s">
        <v>209</v>
      </c>
      <c r="C224" s="76" t="s">
        <v>421</v>
      </c>
      <c r="D224" s="54">
        <v>-224719</v>
      </c>
      <c r="E224" s="54">
        <v>-224719</v>
      </c>
      <c r="F224" s="54">
        <f t="shared" si="36"/>
        <v>0</v>
      </c>
      <c r="G224" s="125">
        <f t="shared" si="35"/>
        <v>100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122"/>
      <c r="X224" s="3"/>
      <c r="Y224" s="3"/>
      <c r="Z224" s="3"/>
      <c r="AA224" s="3"/>
      <c r="AD224" s="5"/>
      <c r="AE224" s="5"/>
      <c r="AF224" s="5"/>
      <c r="AG224" s="5"/>
      <c r="AH224" s="5"/>
      <c r="AI224" s="5"/>
      <c r="AJ224" s="3"/>
      <c r="AK224" s="3"/>
      <c r="AL224" s="3"/>
      <c r="AM224" s="3"/>
      <c r="AN224" s="3"/>
      <c r="AO224" s="3"/>
      <c r="AP224" s="3"/>
      <c r="AQ224" s="3"/>
      <c r="AR224" s="3"/>
      <c r="AS224" s="6"/>
      <c r="AT224" s="6"/>
      <c r="AU224" s="3"/>
      <c r="AV224" s="3"/>
      <c r="AW224" s="3"/>
      <c r="AX224" s="3"/>
      <c r="BN224" s="3"/>
      <c r="BO224" s="3"/>
    </row>
    <row r="225" spans="1:67" s="4" customFormat="1" ht="69.599999999999994" customHeight="1" x14ac:dyDescent="0.25">
      <c r="A225" s="89" t="s">
        <v>354</v>
      </c>
      <c r="B225" s="16" t="s">
        <v>209</v>
      </c>
      <c r="C225" s="76" t="s">
        <v>422</v>
      </c>
      <c r="D225" s="54">
        <v>-178140</v>
      </c>
      <c r="E225" s="54">
        <v>-178140</v>
      </c>
      <c r="F225" s="54">
        <f t="shared" si="36"/>
        <v>0</v>
      </c>
      <c r="G225" s="125">
        <f t="shared" si="35"/>
        <v>100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122"/>
      <c r="X225" s="3"/>
      <c r="Y225" s="3"/>
      <c r="Z225" s="3"/>
      <c r="AA225" s="3"/>
      <c r="AD225" s="5"/>
      <c r="AE225" s="5"/>
      <c r="AF225" s="5"/>
      <c r="AG225" s="5"/>
      <c r="AH225" s="5"/>
      <c r="AI225" s="5"/>
      <c r="AJ225" s="3"/>
      <c r="AK225" s="3"/>
      <c r="AL225" s="3"/>
      <c r="AM225" s="3"/>
      <c r="AN225" s="3"/>
      <c r="AO225" s="3"/>
      <c r="AP225" s="3"/>
      <c r="AQ225" s="3"/>
      <c r="AR225" s="3"/>
      <c r="AS225" s="6"/>
      <c r="AT225" s="6"/>
      <c r="AU225" s="3"/>
      <c r="AV225" s="3"/>
      <c r="AW225" s="3"/>
      <c r="AX225" s="3"/>
      <c r="BN225" s="3"/>
      <c r="BO225" s="3"/>
    </row>
    <row r="226" spans="1:67" s="4" customFormat="1" ht="39.6" x14ac:dyDescent="0.25">
      <c r="A226" s="89" t="s">
        <v>355</v>
      </c>
      <c r="B226" s="16" t="s">
        <v>209</v>
      </c>
      <c r="C226" s="76" t="s">
        <v>423</v>
      </c>
      <c r="D226" s="54">
        <v>-224719</v>
      </c>
      <c r="E226" s="54">
        <v>-224719</v>
      </c>
      <c r="F226" s="54">
        <f t="shared" si="36"/>
        <v>0</v>
      </c>
      <c r="G226" s="125">
        <f t="shared" si="35"/>
        <v>100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122"/>
      <c r="X226" s="3"/>
      <c r="Y226" s="3"/>
      <c r="Z226" s="3"/>
      <c r="AA226" s="3"/>
      <c r="AD226" s="5"/>
      <c r="AE226" s="5"/>
      <c r="AF226" s="5"/>
      <c r="AG226" s="5"/>
      <c r="AH226" s="5"/>
      <c r="AI226" s="5"/>
      <c r="AJ226" s="3"/>
      <c r="AK226" s="3"/>
      <c r="AL226" s="3"/>
      <c r="AM226" s="3"/>
      <c r="AN226" s="3"/>
      <c r="AO226" s="3"/>
      <c r="AP226" s="3"/>
      <c r="AQ226" s="3"/>
      <c r="AR226" s="3"/>
      <c r="AS226" s="6"/>
      <c r="AT226" s="6"/>
      <c r="AU226" s="3"/>
      <c r="AV226" s="3"/>
      <c r="AW226" s="3"/>
      <c r="AX226" s="3"/>
      <c r="BN226" s="3"/>
      <c r="BO226" s="3"/>
    </row>
    <row r="227" spans="1:67" s="4" customFormat="1" ht="39.6" x14ac:dyDescent="0.25">
      <c r="A227" s="89" t="s">
        <v>356</v>
      </c>
      <c r="B227" s="16" t="s">
        <v>209</v>
      </c>
      <c r="C227" s="76" t="s">
        <v>424</v>
      </c>
      <c r="D227" s="54">
        <v>-224719</v>
      </c>
      <c r="E227" s="54">
        <v>-224719</v>
      </c>
      <c r="F227" s="54">
        <f t="shared" si="36"/>
        <v>0</v>
      </c>
      <c r="G227" s="125">
        <f t="shared" si="35"/>
        <v>100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122"/>
      <c r="X227" s="3"/>
      <c r="Y227" s="3"/>
      <c r="Z227" s="3"/>
      <c r="AA227" s="3"/>
      <c r="AD227" s="5"/>
      <c r="AE227" s="5"/>
      <c r="AF227" s="5"/>
      <c r="AG227" s="5"/>
      <c r="AH227" s="5"/>
      <c r="AI227" s="5"/>
      <c r="AJ227" s="3"/>
      <c r="AK227" s="3"/>
      <c r="AL227" s="3"/>
      <c r="AM227" s="3"/>
      <c r="AN227" s="3"/>
      <c r="AO227" s="3"/>
      <c r="AP227" s="3"/>
      <c r="AQ227" s="3"/>
      <c r="AR227" s="3"/>
      <c r="AS227" s="6"/>
      <c r="AT227" s="6"/>
      <c r="AU227" s="3"/>
      <c r="AV227" s="3"/>
      <c r="AW227" s="3"/>
      <c r="AX227" s="3"/>
      <c r="BN227" s="3"/>
      <c r="BO227" s="3"/>
    </row>
    <row r="228" spans="1:67" s="4" customFormat="1" ht="52.8" x14ac:dyDescent="0.25">
      <c r="A228" s="89" t="s">
        <v>357</v>
      </c>
      <c r="B228" s="16" t="s">
        <v>209</v>
      </c>
      <c r="C228" s="76" t="s">
        <v>425</v>
      </c>
      <c r="D228" s="54">
        <v>-224719</v>
      </c>
      <c r="E228" s="54">
        <v>-224719</v>
      </c>
      <c r="F228" s="54">
        <f t="shared" si="36"/>
        <v>0</v>
      </c>
      <c r="G228" s="125">
        <f t="shared" si="35"/>
        <v>100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122"/>
      <c r="X228" s="3"/>
      <c r="Y228" s="3"/>
      <c r="Z228" s="3"/>
      <c r="AA228" s="3"/>
      <c r="AD228" s="5"/>
      <c r="AE228" s="5"/>
      <c r="AF228" s="5"/>
      <c r="AG228" s="5"/>
      <c r="AH228" s="5"/>
      <c r="AI228" s="5"/>
      <c r="AJ228" s="3"/>
      <c r="AK228" s="3"/>
      <c r="AL228" s="3"/>
      <c r="AM228" s="3"/>
      <c r="AN228" s="3"/>
      <c r="AO228" s="3"/>
      <c r="AP228" s="3"/>
      <c r="AQ228" s="3"/>
      <c r="AR228" s="3"/>
      <c r="AS228" s="6"/>
      <c r="AT228" s="6"/>
      <c r="AU228" s="3"/>
      <c r="AV228" s="3"/>
      <c r="AW228" s="3"/>
      <c r="AX228" s="3"/>
      <c r="BN228" s="3"/>
      <c r="BO228" s="3"/>
    </row>
    <row r="229" spans="1:67" s="4" customFormat="1" ht="39.6" x14ac:dyDescent="0.25">
      <c r="A229" s="89" t="s">
        <v>496</v>
      </c>
      <c r="B229" s="16" t="s">
        <v>209</v>
      </c>
      <c r="C229" s="76" t="s">
        <v>510</v>
      </c>
      <c r="D229" s="111">
        <v>374660</v>
      </c>
      <c r="E229" s="111">
        <v>374660</v>
      </c>
      <c r="F229" s="54">
        <f t="shared" si="36"/>
        <v>0</v>
      </c>
      <c r="G229" s="125">
        <f t="shared" si="35"/>
        <v>100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122"/>
      <c r="X229" s="3"/>
      <c r="Y229" s="3"/>
      <c r="Z229" s="3"/>
      <c r="AA229" s="3"/>
      <c r="AD229" s="5"/>
      <c r="AE229" s="5"/>
      <c r="AF229" s="5"/>
      <c r="AG229" s="5"/>
      <c r="AH229" s="5"/>
      <c r="AI229" s="5"/>
      <c r="AJ229" s="3"/>
      <c r="AK229" s="3"/>
      <c r="AL229" s="3"/>
      <c r="AM229" s="3"/>
      <c r="AN229" s="3"/>
      <c r="AO229" s="3"/>
      <c r="AP229" s="3"/>
      <c r="AQ229" s="3"/>
      <c r="AR229" s="3"/>
      <c r="AS229" s="6"/>
      <c r="AT229" s="6"/>
      <c r="AU229" s="3"/>
      <c r="AV229" s="3"/>
      <c r="AW229" s="3"/>
      <c r="AX229" s="3"/>
      <c r="BN229" s="3"/>
      <c r="BO229" s="3"/>
    </row>
    <row r="230" spans="1:67" s="4" customFormat="1" ht="39.6" x14ac:dyDescent="0.25">
      <c r="A230" s="89" t="s">
        <v>497</v>
      </c>
      <c r="B230" s="16" t="s">
        <v>209</v>
      </c>
      <c r="C230" s="76" t="s">
        <v>511</v>
      </c>
      <c r="D230" s="111">
        <v>360000</v>
      </c>
      <c r="E230" s="111">
        <v>360000</v>
      </c>
      <c r="F230" s="54">
        <f t="shared" si="36"/>
        <v>0</v>
      </c>
      <c r="G230" s="125">
        <f t="shared" si="35"/>
        <v>100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122"/>
      <c r="X230" s="3"/>
      <c r="Y230" s="3"/>
      <c r="Z230" s="3"/>
      <c r="AA230" s="3"/>
      <c r="AD230" s="5"/>
      <c r="AE230" s="5"/>
      <c r="AF230" s="5"/>
      <c r="AG230" s="5"/>
      <c r="AH230" s="5"/>
      <c r="AI230" s="5"/>
      <c r="AJ230" s="3"/>
      <c r="AK230" s="3"/>
      <c r="AL230" s="3"/>
      <c r="AM230" s="3"/>
      <c r="AN230" s="3"/>
      <c r="AO230" s="3"/>
      <c r="AP230" s="3"/>
      <c r="AQ230" s="3"/>
      <c r="AR230" s="3"/>
      <c r="AS230" s="6"/>
      <c r="AT230" s="6"/>
      <c r="AU230" s="3"/>
      <c r="AV230" s="3"/>
      <c r="AW230" s="3"/>
      <c r="AX230" s="3"/>
      <c r="BN230" s="3"/>
      <c r="BO230" s="3"/>
    </row>
    <row r="231" spans="1:67" s="4" customFormat="1" ht="26.4" x14ac:dyDescent="0.25">
      <c r="A231" s="89" t="s">
        <v>498</v>
      </c>
      <c r="B231" s="16" t="s">
        <v>209</v>
      </c>
      <c r="C231" s="76" t="s">
        <v>512</v>
      </c>
      <c r="D231" s="111">
        <v>300000</v>
      </c>
      <c r="E231" s="111">
        <v>300000</v>
      </c>
      <c r="F231" s="54">
        <f t="shared" si="36"/>
        <v>0</v>
      </c>
      <c r="G231" s="125">
        <f t="shared" si="35"/>
        <v>100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122"/>
      <c r="X231" s="3"/>
      <c r="Y231" s="3"/>
      <c r="Z231" s="3"/>
      <c r="AA231" s="3"/>
      <c r="AD231" s="5"/>
      <c r="AE231" s="5"/>
      <c r="AF231" s="5"/>
      <c r="AG231" s="5"/>
      <c r="AH231" s="5"/>
      <c r="AI231" s="5"/>
      <c r="AJ231" s="3"/>
      <c r="AK231" s="3"/>
      <c r="AL231" s="3"/>
      <c r="AM231" s="3"/>
      <c r="AN231" s="3"/>
      <c r="AO231" s="3"/>
      <c r="AP231" s="3"/>
      <c r="AQ231" s="3"/>
      <c r="AR231" s="3"/>
      <c r="AS231" s="6"/>
      <c r="AT231" s="6"/>
      <c r="AU231" s="3"/>
      <c r="AV231" s="3"/>
      <c r="AW231" s="3"/>
      <c r="AX231" s="3"/>
      <c r="BN231" s="3"/>
      <c r="BO231" s="3"/>
    </row>
    <row r="232" spans="1:67" s="4" customFormat="1" ht="42.6" customHeight="1" x14ac:dyDescent="0.25">
      <c r="A232" s="89" t="s">
        <v>499</v>
      </c>
      <c r="B232" s="16" t="s">
        <v>209</v>
      </c>
      <c r="C232" s="76" t="s">
        <v>513</v>
      </c>
      <c r="D232" s="111">
        <v>500000</v>
      </c>
      <c r="E232" s="111">
        <v>500000</v>
      </c>
      <c r="F232" s="54">
        <f t="shared" si="36"/>
        <v>0</v>
      </c>
      <c r="G232" s="125">
        <f t="shared" si="35"/>
        <v>100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122"/>
      <c r="X232" s="3"/>
      <c r="Y232" s="3"/>
      <c r="Z232" s="3"/>
      <c r="AA232" s="3"/>
      <c r="AD232" s="5"/>
      <c r="AE232" s="5"/>
      <c r="AF232" s="5"/>
      <c r="AG232" s="5"/>
      <c r="AH232" s="5"/>
      <c r="AI232" s="5"/>
      <c r="AJ232" s="3"/>
      <c r="AK232" s="3"/>
      <c r="AL232" s="3"/>
      <c r="AM232" s="3"/>
      <c r="AN232" s="3"/>
      <c r="AO232" s="3"/>
      <c r="AP232" s="3"/>
      <c r="AQ232" s="3"/>
      <c r="AR232" s="3"/>
      <c r="AS232" s="6"/>
      <c r="AT232" s="6"/>
      <c r="AU232" s="3"/>
      <c r="AV232" s="3"/>
      <c r="AW232" s="3"/>
      <c r="AX232" s="3"/>
      <c r="BN232" s="3"/>
      <c r="BO232" s="3"/>
    </row>
    <row r="233" spans="1:67" s="4" customFormat="1" ht="42" customHeight="1" x14ac:dyDescent="0.25">
      <c r="A233" s="89" t="s">
        <v>500</v>
      </c>
      <c r="B233" s="16" t="s">
        <v>209</v>
      </c>
      <c r="C233" s="76" t="s">
        <v>514</v>
      </c>
      <c r="D233" s="111">
        <v>500000</v>
      </c>
      <c r="E233" s="111">
        <v>500000</v>
      </c>
      <c r="F233" s="54">
        <f t="shared" si="36"/>
        <v>0</v>
      </c>
      <c r="G233" s="125">
        <f t="shared" si="35"/>
        <v>100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122"/>
      <c r="X233" s="3"/>
      <c r="Y233" s="3"/>
      <c r="Z233" s="3"/>
      <c r="AA233" s="3"/>
      <c r="AD233" s="5"/>
      <c r="AE233" s="5"/>
      <c r="AF233" s="5"/>
      <c r="AG233" s="5"/>
      <c r="AH233" s="5"/>
      <c r="AI233" s="5"/>
      <c r="AJ233" s="3"/>
      <c r="AK233" s="3"/>
      <c r="AL233" s="3"/>
      <c r="AM233" s="3"/>
      <c r="AN233" s="3"/>
      <c r="AO233" s="3"/>
      <c r="AP233" s="3"/>
      <c r="AQ233" s="3"/>
      <c r="AR233" s="3"/>
      <c r="AS233" s="6"/>
      <c r="AT233" s="6"/>
      <c r="AU233" s="3"/>
      <c r="AV233" s="3"/>
      <c r="AW233" s="3"/>
      <c r="AX233" s="3"/>
      <c r="BN233" s="3"/>
      <c r="BO233" s="3"/>
    </row>
    <row r="234" spans="1:67" s="4" customFormat="1" ht="39.6" x14ac:dyDescent="0.25">
      <c r="A234" s="89" t="s">
        <v>501</v>
      </c>
      <c r="B234" s="16" t="s">
        <v>209</v>
      </c>
      <c r="C234" s="76" t="s">
        <v>515</v>
      </c>
      <c r="D234" s="111">
        <v>500000</v>
      </c>
      <c r="E234" s="111">
        <v>500000</v>
      </c>
      <c r="F234" s="54">
        <f t="shared" si="36"/>
        <v>0</v>
      </c>
      <c r="G234" s="125">
        <f t="shared" si="35"/>
        <v>100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122"/>
      <c r="X234" s="3"/>
      <c r="Y234" s="3"/>
      <c r="Z234" s="3"/>
      <c r="AA234" s="3"/>
      <c r="AD234" s="5"/>
      <c r="AE234" s="5"/>
      <c r="AF234" s="5"/>
      <c r="AG234" s="5"/>
      <c r="AH234" s="5"/>
      <c r="AI234" s="5"/>
      <c r="AJ234" s="3"/>
      <c r="AK234" s="3"/>
      <c r="AL234" s="3"/>
      <c r="AM234" s="3"/>
      <c r="AN234" s="3"/>
      <c r="AO234" s="3"/>
      <c r="AP234" s="3"/>
      <c r="AQ234" s="3"/>
      <c r="AR234" s="3"/>
      <c r="AS234" s="6"/>
      <c r="AT234" s="6"/>
      <c r="AU234" s="3"/>
      <c r="AV234" s="3"/>
      <c r="AW234" s="3"/>
      <c r="AX234" s="3"/>
      <c r="BN234" s="3"/>
      <c r="BO234" s="3"/>
    </row>
    <row r="235" spans="1:67" s="4" customFormat="1" ht="39.6" x14ac:dyDescent="0.25">
      <c r="A235" s="89" t="s">
        <v>502</v>
      </c>
      <c r="B235" s="16" t="s">
        <v>209</v>
      </c>
      <c r="C235" s="76" t="s">
        <v>516</v>
      </c>
      <c r="D235" s="111">
        <v>500000</v>
      </c>
      <c r="E235" s="111">
        <v>500000</v>
      </c>
      <c r="F235" s="54">
        <f t="shared" si="36"/>
        <v>0</v>
      </c>
      <c r="G235" s="125">
        <f t="shared" si="35"/>
        <v>100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122"/>
      <c r="X235" s="3"/>
      <c r="Y235" s="3"/>
      <c r="Z235" s="3"/>
      <c r="AA235" s="3"/>
      <c r="AD235" s="5"/>
      <c r="AE235" s="5"/>
      <c r="AF235" s="5"/>
      <c r="AG235" s="5"/>
      <c r="AH235" s="5"/>
      <c r="AI235" s="5"/>
      <c r="AJ235" s="3"/>
      <c r="AK235" s="3"/>
      <c r="AL235" s="3"/>
      <c r="AM235" s="3"/>
      <c r="AN235" s="3"/>
      <c r="AO235" s="3"/>
      <c r="AP235" s="3"/>
      <c r="AQ235" s="3"/>
      <c r="AR235" s="3"/>
      <c r="AS235" s="6"/>
      <c r="AT235" s="6"/>
      <c r="AU235" s="3"/>
      <c r="AV235" s="3"/>
      <c r="AW235" s="3"/>
      <c r="AX235" s="3"/>
      <c r="BN235" s="3"/>
      <c r="BO235" s="3"/>
    </row>
    <row r="236" spans="1:67" s="4" customFormat="1" ht="79.2" x14ac:dyDescent="0.25">
      <c r="A236" s="89" t="s">
        <v>503</v>
      </c>
      <c r="B236" s="16" t="s">
        <v>209</v>
      </c>
      <c r="C236" s="76" t="s">
        <v>517</v>
      </c>
      <c r="D236" s="111">
        <v>105000</v>
      </c>
      <c r="E236" s="111">
        <v>105000</v>
      </c>
      <c r="F236" s="54">
        <f t="shared" si="36"/>
        <v>0</v>
      </c>
      <c r="G236" s="125">
        <f t="shared" si="35"/>
        <v>100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122"/>
      <c r="X236" s="3"/>
      <c r="Y236" s="3"/>
      <c r="Z236" s="3"/>
      <c r="AA236" s="3"/>
      <c r="AD236" s="5"/>
      <c r="AE236" s="5"/>
      <c r="AF236" s="5"/>
      <c r="AG236" s="5"/>
      <c r="AH236" s="5"/>
      <c r="AI236" s="5"/>
      <c r="AJ236" s="3"/>
      <c r="AK236" s="3"/>
      <c r="AL236" s="3"/>
      <c r="AM236" s="3"/>
      <c r="AN236" s="3"/>
      <c r="AO236" s="3"/>
      <c r="AP236" s="3"/>
      <c r="AQ236" s="3"/>
      <c r="AR236" s="3"/>
      <c r="AS236" s="6"/>
      <c r="AT236" s="6"/>
      <c r="AU236" s="3"/>
      <c r="AV236" s="3"/>
      <c r="AW236" s="3"/>
      <c r="AX236" s="3"/>
      <c r="BN236" s="3"/>
      <c r="BO236" s="3"/>
    </row>
    <row r="237" spans="1:67" s="4" customFormat="1" ht="44.4" customHeight="1" x14ac:dyDescent="0.25">
      <c r="A237" s="89" t="s">
        <v>504</v>
      </c>
      <c r="B237" s="16" t="s">
        <v>209</v>
      </c>
      <c r="C237" s="76" t="s">
        <v>518</v>
      </c>
      <c r="D237" s="111">
        <v>300000</v>
      </c>
      <c r="E237" s="111">
        <v>300000</v>
      </c>
      <c r="F237" s="54">
        <f t="shared" si="36"/>
        <v>0</v>
      </c>
      <c r="G237" s="125">
        <f t="shared" si="35"/>
        <v>100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122"/>
      <c r="X237" s="3"/>
      <c r="Y237" s="3"/>
      <c r="Z237" s="3"/>
      <c r="AA237" s="3"/>
      <c r="AD237" s="5"/>
      <c r="AE237" s="5"/>
      <c r="AF237" s="5"/>
      <c r="AG237" s="5"/>
      <c r="AH237" s="5"/>
      <c r="AI237" s="5"/>
      <c r="AJ237" s="3"/>
      <c r="AK237" s="3"/>
      <c r="AL237" s="3"/>
      <c r="AM237" s="3"/>
      <c r="AN237" s="3"/>
      <c r="AO237" s="3"/>
      <c r="AP237" s="3"/>
      <c r="AQ237" s="3"/>
      <c r="AR237" s="3"/>
      <c r="AS237" s="6"/>
      <c r="AT237" s="6"/>
      <c r="AU237" s="3"/>
      <c r="AV237" s="3"/>
      <c r="AW237" s="3"/>
      <c r="AX237" s="3"/>
      <c r="BN237" s="3"/>
      <c r="BO237" s="3"/>
    </row>
    <row r="238" spans="1:67" s="4" customFormat="1" ht="26.4" x14ac:dyDescent="0.25">
      <c r="A238" s="89" t="s">
        <v>349</v>
      </c>
      <c r="B238" s="16" t="s">
        <v>209</v>
      </c>
      <c r="C238" s="76" t="s">
        <v>519</v>
      </c>
      <c r="D238" s="111">
        <v>360000</v>
      </c>
      <c r="E238" s="111">
        <v>360000</v>
      </c>
      <c r="F238" s="54">
        <f t="shared" si="36"/>
        <v>0</v>
      </c>
      <c r="G238" s="125">
        <f t="shared" si="35"/>
        <v>100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122"/>
      <c r="X238" s="3"/>
      <c r="Y238" s="3"/>
      <c r="Z238" s="3"/>
      <c r="AA238" s="3"/>
      <c r="AD238" s="5"/>
      <c r="AE238" s="5"/>
      <c r="AF238" s="5"/>
      <c r="AG238" s="5"/>
      <c r="AH238" s="5"/>
      <c r="AI238" s="5"/>
      <c r="AJ238" s="3"/>
      <c r="AK238" s="3"/>
      <c r="AL238" s="3"/>
      <c r="AM238" s="3"/>
      <c r="AN238" s="3"/>
      <c r="AO238" s="3"/>
      <c r="AP238" s="3"/>
      <c r="AQ238" s="3"/>
      <c r="AR238" s="3"/>
      <c r="AS238" s="6"/>
      <c r="AT238" s="6"/>
      <c r="AU238" s="3"/>
      <c r="AV238" s="3"/>
      <c r="AW238" s="3"/>
      <c r="AX238" s="3"/>
      <c r="BN238" s="3"/>
      <c r="BO238" s="3"/>
    </row>
    <row r="239" spans="1:67" s="4" customFormat="1" ht="39.6" x14ac:dyDescent="0.25">
      <c r="A239" s="89" t="s">
        <v>505</v>
      </c>
      <c r="B239" s="16" t="s">
        <v>209</v>
      </c>
      <c r="C239" s="76" t="s">
        <v>520</v>
      </c>
      <c r="D239" s="111">
        <v>150000</v>
      </c>
      <c r="E239" s="111">
        <v>150000</v>
      </c>
      <c r="F239" s="54">
        <f t="shared" si="36"/>
        <v>0</v>
      </c>
      <c r="G239" s="125">
        <f t="shared" si="35"/>
        <v>100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122"/>
      <c r="X239" s="3"/>
      <c r="Y239" s="3"/>
      <c r="Z239" s="3"/>
      <c r="AA239" s="3"/>
      <c r="AD239" s="5"/>
      <c r="AE239" s="5"/>
      <c r="AF239" s="5"/>
      <c r="AG239" s="5"/>
      <c r="AH239" s="5"/>
      <c r="AI239" s="5"/>
      <c r="AJ239" s="3"/>
      <c r="AK239" s="3"/>
      <c r="AL239" s="3"/>
      <c r="AM239" s="3"/>
      <c r="AN239" s="3"/>
      <c r="AO239" s="3"/>
      <c r="AP239" s="3"/>
      <c r="AQ239" s="3"/>
      <c r="AR239" s="3"/>
      <c r="AS239" s="6"/>
      <c r="AT239" s="6"/>
      <c r="AU239" s="3"/>
      <c r="AV239" s="3"/>
      <c r="AW239" s="3"/>
      <c r="AX239" s="3"/>
      <c r="BN239" s="3"/>
      <c r="BO239" s="3"/>
    </row>
    <row r="240" spans="1:67" s="4" customFormat="1" ht="39.6" x14ac:dyDescent="0.25">
      <c r="A240" s="89" t="s">
        <v>506</v>
      </c>
      <c r="B240" s="16" t="s">
        <v>209</v>
      </c>
      <c r="C240" s="76" t="s">
        <v>521</v>
      </c>
      <c r="D240" s="111">
        <v>200000</v>
      </c>
      <c r="E240" s="111">
        <v>200000</v>
      </c>
      <c r="F240" s="54">
        <f t="shared" si="36"/>
        <v>0</v>
      </c>
      <c r="G240" s="125">
        <f t="shared" si="35"/>
        <v>100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122"/>
      <c r="X240" s="3"/>
      <c r="Y240" s="3"/>
      <c r="Z240" s="3"/>
      <c r="AA240" s="3"/>
      <c r="AD240" s="5"/>
      <c r="AE240" s="5"/>
      <c r="AF240" s="5"/>
      <c r="AG240" s="5"/>
      <c r="AH240" s="5"/>
      <c r="AI240" s="5"/>
      <c r="AJ240" s="3"/>
      <c r="AK240" s="3"/>
      <c r="AL240" s="3"/>
      <c r="AM240" s="3"/>
      <c r="AN240" s="3"/>
      <c r="AO240" s="3"/>
      <c r="AP240" s="3"/>
      <c r="AQ240" s="3"/>
      <c r="AR240" s="3"/>
      <c r="AS240" s="6"/>
      <c r="AT240" s="6"/>
      <c r="AU240" s="3"/>
      <c r="AV240" s="3"/>
      <c r="AW240" s="3"/>
      <c r="AX240" s="3"/>
      <c r="BN240" s="3"/>
      <c r="BO240" s="3"/>
    </row>
    <row r="241" spans="1:67" s="4" customFormat="1" ht="66" x14ac:dyDescent="0.25">
      <c r="A241" s="89" t="s">
        <v>507</v>
      </c>
      <c r="B241" s="16" t="s">
        <v>209</v>
      </c>
      <c r="C241" s="76" t="s">
        <v>522</v>
      </c>
      <c r="D241" s="111">
        <v>378080</v>
      </c>
      <c r="E241" s="111">
        <v>378080</v>
      </c>
      <c r="F241" s="54">
        <f t="shared" si="36"/>
        <v>0</v>
      </c>
      <c r="G241" s="125">
        <f t="shared" si="35"/>
        <v>100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122"/>
      <c r="X241" s="3"/>
      <c r="Y241" s="3"/>
      <c r="Z241" s="3"/>
      <c r="AA241" s="3"/>
      <c r="AD241" s="5"/>
      <c r="AE241" s="5"/>
      <c r="AF241" s="5"/>
      <c r="AG241" s="5"/>
      <c r="AH241" s="5"/>
      <c r="AI241" s="5"/>
      <c r="AJ241" s="3"/>
      <c r="AK241" s="3"/>
      <c r="AL241" s="3"/>
      <c r="AM241" s="3"/>
      <c r="AN241" s="3"/>
      <c r="AO241" s="3"/>
      <c r="AP241" s="3"/>
      <c r="AQ241" s="3"/>
      <c r="AR241" s="3"/>
      <c r="AS241" s="6"/>
      <c r="AT241" s="6"/>
      <c r="AU241" s="3"/>
      <c r="AV241" s="3"/>
      <c r="AW241" s="3"/>
      <c r="AX241" s="3"/>
      <c r="BN241" s="3"/>
      <c r="BO241" s="3"/>
    </row>
    <row r="242" spans="1:67" s="4" customFormat="1" ht="30" customHeight="1" x14ac:dyDescent="0.25">
      <c r="A242" s="89" t="s">
        <v>508</v>
      </c>
      <c r="B242" s="16" t="s">
        <v>209</v>
      </c>
      <c r="C242" s="76" t="s">
        <v>523</v>
      </c>
      <c r="D242" s="111">
        <v>230000</v>
      </c>
      <c r="E242" s="111">
        <v>230000</v>
      </c>
      <c r="F242" s="54">
        <f t="shared" si="36"/>
        <v>0</v>
      </c>
      <c r="G242" s="125">
        <f t="shared" si="35"/>
        <v>100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122"/>
      <c r="X242" s="3"/>
      <c r="Y242" s="3"/>
      <c r="Z242" s="3"/>
      <c r="AA242" s="3"/>
      <c r="AD242" s="5"/>
      <c r="AE242" s="5"/>
      <c r="AF242" s="5"/>
      <c r="AG242" s="5"/>
      <c r="AH242" s="5"/>
      <c r="AI242" s="5"/>
      <c r="AJ242" s="3"/>
      <c r="AK242" s="3"/>
      <c r="AL242" s="3"/>
      <c r="AM242" s="3"/>
      <c r="AN242" s="3"/>
      <c r="AO242" s="3"/>
      <c r="AP242" s="3"/>
      <c r="AQ242" s="3"/>
      <c r="AR242" s="3"/>
      <c r="AS242" s="6"/>
      <c r="AT242" s="6"/>
      <c r="AU242" s="3"/>
      <c r="AV242" s="3"/>
      <c r="AW242" s="3"/>
      <c r="AX242" s="3"/>
      <c r="BN242" s="3"/>
      <c r="BO242" s="3"/>
    </row>
    <row r="243" spans="1:67" s="4" customFormat="1" ht="26.4" x14ac:dyDescent="0.25">
      <c r="A243" s="89" t="s">
        <v>509</v>
      </c>
      <c r="B243" s="16" t="s">
        <v>209</v>
      </c>
      <c r="C243" s="76" t="s">
        <v>524</v>
      </c>
      <c r="D243" s="111">
        <v>250000</v>
      </c>
      <c r="E243" s="111">
        <v>250000</v>
      </c>
      <c r="F243" s="54">
        <f t="shared" si="36"/>
        <v>0</v>
      </c>
      <c r="G243" s="125">
        <f t="shared" si="35"/>
        <v>100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122"/>
      <c r="X243" s="3"/>
      <c r="Y243" s="3"/>
      <c r="Z243" s="3"/>
      <c r="AA243" s="3"/>
      <c r="AD243" s="5"/>
      <c r="AE243" s="5"/>
      <c r="AF243" s="5"/>
      <c r="AG243" s="5"/>
      <c r="AH243" s="5"/>
      <c r="AI243" s="5"/>
      <c r="AJ243" s="3"/>
      <c r="AK243" s="3"/>
      <c r="AL243" s="3"/>
      <c r="AM243" s="3"/>
      <c r="AN243" s="3"/>
      <c r="AO243" s="3"/>
      <c r="AP243" s="3"/>
      <c r="AQ243" s="3"/>
      <c r="AR243" s="3"/>
      <c r="AS243" s="6"/>
      <c r="AT243" s="6"/>
      <c r="AU243" s="3"/>
      <c r="AV243" s="3"/>
      <c r="AW243" s="3"/>
      <c r="AX243" s="3"/>
      <c r="BN243" s="3"/>
      <c r="BO243" s="3"/>
    </row>
    <row r="244" spans="1:67" s="4" customFormat="1" x14ac:dyDescent="0.25">
      <c r="A244" s="78" t="s">
        <v>237</v>
      </c>
      <c r="B244" s="16" t="s">
        <v>5</v>
      </c>
      <c r="C244" s="17" t="s">
        <v>238</v>
      </c>
      <c r="D244" s="54">
        <f>+D245+D327+D334+D324</f>
        <v>3391299420.5899997</v>
      </c>
      <c r="E244" s="54">
        <f>+E245+E327+E334+E324</f>
        <v>3310303327.6300001</v>
      </c>
      <c r="F244" s="54">
        <f t="shared" si="36"/>
        <v>-80996092.959999561</v>
      </c>
      <c r="G244" s="125">
        <f t="shared" si="35"/>
        <v>97.611650199087748</v>
      </c>
      <c r="H244" s="3"/>
      <c r="I244" s="2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122"/>
      <c r="X244" s="3"/>
      <c r="Y244" s="3"/>
      <c r="Z244" s="3"/>
      <c r="AA244" s="3"/>
      <c r="AC244" s="12"/>
      <c r="AD244" s="5"/>
      <c r="AE244" s="5"/>
      <c r="AF244" s="5"/>
      <c r="AG244" s="5"/>
      <c r="AH244" s="5"/>
      <c r="AI244" s="5"/>
      <c r="AJ244" s="3"/>
      <c r="AK244" s="3"/>
      <c r="AL244" s="3"/>
      <c r="AM244" s="3"/>
      <c r="AN244" s="3"/>
      <c r="AO244" s="3"/>
      <c r="AP244" s="3"/>
      <c r="AQ244" s="3"/>
      <c r="AR244" s="3"/>
      <c r="AS244" s="6"/>
      <c r="AT244" s="6"/>
      <c r="AU244" s="3"/>
      <c r="AV244" s="3"/>
      <c r="AW244" s="3"/>
      <c r="AX244" s="3"/>
      <c r="BN244" s="3"/>
      <c r="BO244" s="3"/>
    </row>
    <row r="245" spans="1:67" s="4" customFormat="1" ht="26.4" x14ac:dyDescent="0.25">
      <c r="A245" s="95" t="s">
        <v>239</v>
      </c>
      <c r="B245" s="16" t="s">
        <v>5</v>
      </c>
      <c r="C245" s="17" t="s">
        <v>240</v>
      </c>
      <c r="D245" s="54">
        <f>+D293+D246+D251+D313</f>
        <v>3391221111.0799999</v>
      </c>
      <c r="E245" s="54">
        <f t="shared" ref="E245" si="40">+E293+E246+E251+E313</f>
        <v>3310113518.1200004</v>
      </c>
      <c r="F245" s="54">
        <f t="shared" si="36"/>
        <v>-81107592.959999561</v>
      </c>
      <c r="G245" s="125">
        <f t="shared" si="35"/>
        <v>97.608307146502483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122"/>
      <c r="X245" s="3"/>
      <c r="Y245" s="3"/>
      <c r="Z245" s="3"/>
      <c r="AA245" s="3"/>
      <c r="AD245" s="5"/>
      <c r="AE245" s="5"/>
      <c r="AF245" s="5"/>
      <c r="AG245" s="5"/>
      <c r="AH245" s="5"/>
      <c r="AI245" s="5"/>
      <c r="AJ245" s="3"/>
      <c r="AK245" s="3"/>
      <c r="AL245" s="3"/>
      <c r="AM245" s="3"/>
      <c r="AN245" s="3"/>
      <c r="AO245" s="3"/>
      <c r="AP245" s="3"/>
      <c r="AQ245" s="3"/>
      <c r="AR245" s="3"/>
      <c r="AS245" s="6"/>
      <c r="AT245" s="6"/>
      <c r="AU245" s="3"/>
      <c r="AV245" s="3"/>
      <c r="AW245" s="3"/>
      <c r="AX245" s="3"/>
      <c r="BN245" s="3"/>
      <c r="BO245" s="3"/>
    </row>
    <row r="246" spans="1:67" s="4" customFormat="1" ht="20.25" customHeight="1" x14ac:dyDescent="0.25">
      <c r="A246" s="95" t="s">
        <v>241</v>
      </c>
      <c r="B246" s="16" t="s">
        <v>5</v>
      </c>
      <c r="C246" s="17" t="s">
        <v>242</v>
      </c>
      <c r="D246" s="54">
        <f>+D247+D249</f>
        <v>281335500</v>
      </c>
      <c r="E246" s="54">
        <f t="shared" ref="E246" si="41">+E247+E249</f>
        <v>281335500</v>
      </c>
      <c r="F246" s="54">
        <f t="shared" si="36"/>
        <v>0</v>
      </c>
      <c r="G246" s="125">
        <f t="shared" si="35"/>
        <v>100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122"/>
      <c r="X246" s="3"/>
      <c r="Y246" s="3"/>
      <c r="Z246" s="3"/>
      <c r="AA246" s="3"/>
      <c r="AD246" s="5"/>
      <c r="AE246" s="5"/>
      <c r="AF246" s="5"/>
      <c r="AG246" s="5"/>
      <c r="AH246" s="5"/>
      <c r="AI246" s="5"/>
      <c r="AJ246" s="3"/>
      <c r="AK246" s="3"/>
      <c r="AL246" s="3"/>
      <c r="AM246" s="3"/>
      <c r="AN246" s="3"/>
      <c r="AO246" s="3"/>
      <c r="AP246" s="3"/>
      <c r="AQ246" s="3"/>
      <c r="AR246" s="3"/>
      <c r="AS246" s="6"/>
      <c r="AT246" s="6"/>
      <c r="AU246" s="3"/>
      <c r="AV246" s="3"/>
      <c r="AW246" s="3"/>
      <c r="AX246" s="3"/>
      <c r="BN246" s="3"/>
      <c r="BO246" s="3"/>
    </row>
    <row r="247" spans="1:67" s="4" customFormat="1" x14ac:dyDescent="0.25">
      <c r="A247" s="96" t="s">
        <v>243</v>
      </c>
      <c r="B247" s="16" t="s">
        <v>5</v>
      </c>
      <c r="C247" s="28" t="s">
        <v>244</v>
      </c>
      <c r="D247" s="54">
        <f>+D248</f>
        <v>44904800</v>
      </c>
      <c r="E247" s="54">
        <f t="shared" ref="E247" si="42">+E248</f>
        <v>44904800</v>
      </c>
      <c r="F247" s="54">
        <f t="shared" si="36"/>
        <v>0</v>
      </c>
      <c r="G247" s="125">
        <f t="shared" si="35"/>
        <v>100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122"/>
      <c r="X247" s="3"/>
      <c r="Y247" s="3"/>
      <c r="Z247" s="3"/>
      <c r="AA247" s="3"/>
      <c r="AD247" s="5"/>
      <c r="AE247" s="5"/>
      <c r="AF247" s="5"/>
      <c r="AG247" s="5"/>
      <c r="AH247" s="5"/>
      <c r="AI247" s="5"/>
      <c r="AJ247" s="3"/>
      <c r="AK247" s="3"/>
      <c r="AL247" s="3"/>
      <c r="AM247" s="3"/>
      <c r="AN247" s="3"/>
      <c r="AO247" s="3"/>
      <c r="AP247" s="3"/>
      <c r="AQ247" s="3"/>
      <c r="AR247" s="3"/>
      <c r="AS247" s="6"/>
      <c r="AT247" s="6"/>
      <c r="AU247" s="3"/>
      <c r="AV247" s="3"/>
      <c r="AW247" s="3"/>
      <c r="AX247" s="3"/>
      <c r="BN247" s="3"/>
      <c r="BO247" s="3"/>
    </row>
    <row r="248" spans="1:67" s="4" customFormat="1" ht="33" customHeight="1" x14ac:dyDescent="0.25">
      <c r="A248" s="96" t="s">
        <v>245</v>
      </c>
      <c r="B248" s="16" t="s">
        <v>246</v>
      </c>
      <c r="C248" s="17" t="s">
        <v>247</v>
      </c>
      <c r="D248" s="54">
        <v>44904800</v>
      </c>
      <c r="E248" s="54">
        <v>44904800</v>
      </c>
      <c r="F248" s="54">
        <f t="shared" si="36"/>
        <v>0</v>
      </c>
      <c r="G248" s="125">
        <f t="shared" si="35"/>
        <v>100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122"/>
      <c r="X248" s="3"/>
      <c r="Y248" s="3"/>
      <c r="Z248" s="3"/>
      <c r="AA248" s="3"/>
      <c r="AD248" s="5"/>
      <c r="AE248" s="5"/>
      <c r="AF248" s="5"/>
      <c r="AG248" s="5"/>
      <c r="AH248" s="5"/>
      <c r="AI248" s="5"/>
      <c r="AJ248" s="3"/>
      <c r="AK248" s="3"/>
      <c r="AL248" s="3"/>
      <c r="AM248" s="3"/>
      <c r="AN248" s="3"/>
      <c r="AO248" s="3"/>
      <c r="AP248" s="3"/>
      <c r="AQ248" s="3"/>
      <c r="AR248" s="3"/>
      <c r="AS248" s="6"/>
      <c r="AT248" s="6"/>
      <c r="AU248" s="3"/>
      <c r="AV248" s="3"/>
      <c r="AW248" s="3"/>
      <c r="AX248" s="3"/>
      <c r="BN248" s="3"/>
      <c r="BO248" s="3"/>
    </row>
    <row r="249" spans="1:67" s="4" customFormat="1" ht="26.4" x14ac:dyDescent="0.25">
      <c r="A249" s="80" t="s">
        <v>385</v>
      </c>
      <c r="B249" s="16" t="s">
        <v>5</v>
      </c>
      <c r="C249" s="65" t="s">
        <v>387</v>
      </c>
      <c r="D249" s="54">
        <f>+D250</f>
        <v>236430700</v>
      </c>
      <c r="E249" s="54">
        <f>+E250</f>
        <v>236430700</v>
      </c>
      <c r="F249" s="54">
        <f t="shared" si="36"/>
        <v>0</v>
      </c>
      <c r="G249" s="125">
        <f t="shared" si="35"/>
        <v>100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122"/>
      <c r="X249" s="3"/>
      <c r="Y249" s="3"/>
      <c r="Z249" s="3"/>
      <c r="AA249" s="3"/>
      <c r="AD249" s="5"/>
      <c r="AE249" s="5"/>
      <c r="AF249" s="5"/>
      <c r="AG249" s="5"/>
      <c r="AH249" s="5"/>
      <c r="AI249" s="5"/>
      <c r="AJ249" s="3"/>
      <c r="AK249" s="3"/>
      <c r="AL249" s="3"/>
      <c r="AM249" s="3"/>
      <c r="AN249" s="3"/>
      <c r="AO249" s="3"/>
      <c r="AP249" s="3"/>
      <c r="AQ249" s="3"/>
      <c r="AR249" s="3"/>
      <c r="AS249" s="6"/>
      <c r="AT249" s="6"/>
      <c r="AU249" s="3"/>
      <c r="AV249" s="3"/>
      <c r="AW249" s="3"/>
      <c r="AX249" s="3"/>
      <c r="BN249" s="3"/>
      <c r="BO249" s="3"/>
    </row>
    <row r="250" spans="1:67" s="4" customFormat="1" ht="26.4" x14ac:dyDescent="0.25">
      <c r="A250" s="96" t="s">
        <v>385</v>
      </c>
      <c r="B250" s="16" t="s">
        <v>246</v>
      </c>
      <c r="C250" s="17" t="s">
        <v>386</v>
      </c>
      <c r="D250" s="54">
        <f>104530400+85271700+46628600</f>
        <v>236430700</v>
      </c>
      <c r="E250" s="54">
        <f>104530400+85271700+46628600</f>
        <v>236430700</v>
      </c>
      <c r="F250" s="54">
        <f t="shared" si="36"/>
        <v>0</v>
      </c>
      <c r="G250" s="125">
        <f t="shared" si="35"/>
        <v>100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122"/>
      <c r="X250" s="3"/>
      <c r="Y250" s="3"/>
      <c r="Z250" s="3"/>
      <c r="AA250" s="3"/>
      <c r="AD250" s="5"/>
      <c r="AE250" s="5"/>
      <c r="AF250" s="5"/>
      <c r="AG250" s="5"/>
      <c r="AH250" s="5"/>
      <c r="AI250" s="5"/>
      <c r="AJ250" s="3"/>
      <c r="AK250" s="3"/>
      <c r="AL250" s="3"/>
      <c r="AM250" s="3"/>
      <c r="AN250" s="3"/>
      <c r="AO250" s="3"/>
      <c r="AP250" s="3"/>
      <c r="AQ250" s="3"/>
      <c r="AR250" s="3"/>
      <c r="AS250" s="6"/>
      <c r="AT250" s="6"/>
      <c r="AU250" s="3"/>
      <c r="AV250" s="3"/>
      <c r="AW250" s="3"/>
      <c r="AX250" s="3"/>
      <c r="BN250" s="3"/>
      <c r="BO250" s="3"/>
    </row>
    <row r="251" spans="1:67" s="4" customFormat="1" ht="26.4" x14ac:dyDescent="0.25">
      <c r="A251" s="78" t="s">
        <v>248</v>
      </c>
      <c r="B251" s="16" t="s">
        <v>5</v>
      </c>
      <c r="C251" s="16" t="s">
        <v>249</v>
      </c>
      <c r="D251" s="54">
        <f>+D260+D272+D258+D264+D270+D266+D268+D262+D252+D254+D256</f>
        <v>820661811.0799998</v>
      </c>
      <c r="E251" s="54">
        <f t="shared" ref="E251" si="43">+E260+E272+E258+E264+E270+E266+E268+E262+E252+E254+E256</f>
        <v>794625319.93999994</v>
      </c>
      <c r="F251" s="54">
        <f t="shared" si="36"/>
        <v>-26036491.139999866</v>
      </c>
      <c r="G251" s="125">
        <f t="shared" si="35"/>
        <v>96.827378734032294</v>
      </c>
      <c r="H251" s="3"/>
      <c r="I251" s="2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122"/>
      <c r="X251" s="3"/>
      <c r="Y251" s="3"/>
      <c r="Z251" s="3"/>
      <c r="AA251" s="3"/>
      <c r="AD251" s="5"/>
      <c r="AE251" s="5"/>
      <c r="AF251" s="5"/>
      <c r="AG251" s="5"/>
      <c r="AH251" s="5"/>
      <c r="AI251" s="5"/>
      <c r="AJ251" s="3"/>
      <c r="AK251" s="3"/>
      <c r="AL251" s="3"/>
      <c r="AM251" s="3"/>
      <c r="AN251" s="3"/>
      <c r="AO251" s="3"/>
      <c r="AP251" s="3"/>
      <c r="AQ251" s="3"/>
      <c r="AR251" s="3"/>
      <c r="AS251" s="6"/>
      <c r="AT251" s="6"/>
      <c r="AU251" s="3"/>
      <c r="AV251" s="3"/>
      <c r="AW251" s="3"/>
      <c r="AX251" s="3"/>
      <c r="BN251" s="3"/>
      <c r="BO251" s="3"/>
    </row>
    <row r="252" spans="1:67" s="4" customFormat="1" ht="80.400000000000006" customHeight="1" x14ac:dyDescent="0.25">
      <c r="A252" s="78" t="s">
        <v>428</v>
      </c>
      <c r="B252" s="16" t="s">
        <v>5</v>
      </c>
      <c r="C252" s="16" t="s">
        <v>429</v>
      </c>
      <c r="D252" s="54">
        <f>+D253</f>
        <v>19551546</v>
      </c>
      <c r="E252" s="54">
        <f t="shared" ref="E252" si="44">+E253</f>
        <v>19551546</v>
      </c>
      <c r="F252" s="54">
        <f t="shared" si="36"/>
        <v>0</v>
      </c>
      <c r="G252" s="125">
        <f t="shared" si="35"/>
        <v>100</v>
      </c>
      <c r="H252" s="3"/>
      <c r="I252" s="2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122"/>
      <c r="X252" s="3"/>
      <c r="Y252" s="3"/>
      <c r="Z252" s="3"/>
      <c r="AA252" s="3"/>
      <c r="AD252" s="5"/>
      <c r="AE252" s="5"/>
      <c r="AF252" s="5"/>
      <c r="AG252" s="5"/>
      <c r="AH252" s="5"/>
      <c r="AI252" s="5"/>
      <c r="AJ252" s="3"/>
      <c r="AK252" s="3"/>
      <c r="AL252" s="3"/>
      <c r="AM252" s="3"/>
      <c r="AN252" s="3"/>
      <c r="AO252" s="3"/>
      <c r="AP252" s="3"/>
      <c r="AQ252" s="3"/>
      <c r="AR252" s="3"/>
      <c r="AS252" s="6"/>
      <c r="AT252" s="6"/>
      <c r="AU252" s="3"/>
      <c r="AV252" s="3"/>
      <c r="AW252" s="3"/>
      <c r="AX252" s="3"/>
      <c r="BN252" s="3"/>
      <c r="BO252" s="3"/>
    </row>
    <row r="253" spans="1:67" s="4" customFormat="1" ht="85.2" customHeight="1" x14ac:dyDescent="0.25">
      <c r="A253" s="78" t="s">
        <v>426</v>
      </c>
      <c r="B253" s="16" t="s">
        <v>79</v>
      </c>
      <c r="C253" s="16" t="s">
        <v>427</v>
      </c>
      <c r="D253" s="54">
        <f>25400500-5848954</f>
        <v>19551546</v>
      </c>
      <c r="E253" s="54">
        <f>25400500-5848954</f>
        <v>19551546</v>
      </c>
      <c r="F253" s="54">
        <f t="shared" si="36"/>
        <v>0</v>
      </c>
      <c r="G253" s="125">
        <f t="shared" si="35"/>
        <v>100</v>
      </c>
      <c r="H253" s="3"/>
      <c r="I253" s="2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122"/>
      <c r="X253" s="3"/>
      <c r="Y253" s="3"/>
      <c r="Z253" s="3"/>
      <c r="AA253" s="3"/>
      <c r="AD253" s="5"/>
      <c r="AE253" s="5"/>
      <c r="AF253" s="5"/>
      <c r="AG253" s="5"/>
      <c r="AH253" s="5"/>
      <c r="AI253" s="5"/>
      <c r="AJ253" s="3"/>
      <c r="AK253" s="3"/>
      <c r="AL253" s="3"/>
      <c r="AM253" s="3"/>
      <c r="AN253" s="3"/>
      <c r="AO253" s="3"/>
      <c r="AP253" s="3"/>
      <c r="AQ253" s="3"/>
      <c r="AR253" s="3"/>
      <c r="AS253" s="6"/>
      <c r="AT253" s="6"/>
      <c r="AU253" s="3"/>
      <c r="AV253" s="3"/>
      <c r="AW253" s="3"/>
      <c r="AX253" s="3"/>
      <c r="BN253" s="3"/>
      <c r="BO253" s="3"/>
    </row>
    <row r="254" spans="1:67" s="4" customFormat="1" ht="26.4" x14ac:dyDescent="0.25">
      <c r="A254" s="78" t="s">
        <v>434</v>
      </c>
      <c r="B254" s="16" t="s">
        <v>5</v>
      </c>
      <c r="C254" s="16" t="s">
        <v>435</v>
      </c>
      <c r="D254" s="54">
        <f>+D255</f>
        <v>184748</v>
      </c>
      <c r="E254" s="54">
        <f t="shared" ref="E254" si="45">+E255</f>
        <v>184748</v>
      </c>
      <c r="F254" s="54">
        <f t="shared" si="36"/>
        <v>0</v>
      </c>
      <c r="G254" s="125">
        <f t="shared" si="35"/>
        <v>100</v>
      </c>
      <c r="H254" s="3"/>
      <c r="I254" s="2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122"/>
      <c r="X254" s="3"/>
      <c r="Y254" s="3"/>
      <c r="Z254" s="3"/>
      <c r="AA254" s="3"/>
      <c r="AD254" s="5"/>
      <c r="AE254" s="5"/>
      <c r="AF254" s="5"/>
      <c r="AG254" s="5"/>
      <c r="AH254" s="5"/>
      <c r="AI254" s="5"/>
      <c r="AJ254" s="3"/>
      <c r="AK254" s="3"/>
      <c r="AL254" s="3"/>
      <c r="AM254" s="3"/>
      <c r="AN254" s="3"/>
      <c r="AO254" s="3"/>
      <c r="AP254" s="3"/>
      <c r="AQ254" s="3"/>
      <c r="AR254" s="3"/>
      <c r="AS254" s="6"/>
      <c r="AT254" s="6"/>
      <c r="AU254" s="3"/>
      <c r="AV254" s="3"/>
      <c r="AW254" s="3"/>
      <c r="AX254" s="3"/>
      <c r="BN254" s="3"/>
      <c r="BO254" s="3"/>
    </row>
    <row r="255" spans="1:67" s="4" customFormat="1" ht="39.6" x14ac:dyDescent="0.25">
      <c r="A255" s="78" t="s">
        <v>432</v>
      </c>
      <c r="B255" s="16" t="s">
        <v>268</v>
      </c>
      <c r="C255" s="16" t="s">
        <v>433</v>
      </c>
      <c r="D255" s="54">
        <v>184748</v>
      </c>
      <c r="E255" s="54">
        <v>184748</v>
      </c>
      <c r="F255" s="54">
        <f t="shared" si="36"/>
        <v>0</v>
      </c>
      <c r="G255" s="125">
        <f t="shared" si="35"/>
        <v>100</v>
      </c>
      <c r="H255" s="3"/>
      <c r="I255" s="2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122"/>
      <c r="X255" s="3"/>
      <c r="Y255" s="3"/>
      <c r="Z255" s="3"/>
      <c r="AA255" s="3"/>
      <c r="AD255" s="5"/>
      <c r="AE255" s="5"/>
      <c r="AF255" s="5"/>
      <c r="AG255" s="5"/>
      <c r="AH255" s="5"/>
      <c r="AI255" s="5"/>
      <c r="AJ255" s="3"/>
      <c r="AK255" s="3"/>
      <c r="AL255" s="3"/>
      <c r="AM255" s="3"/>
      <c r="AN255" s="3"/>
      <c r="AO255" s="3"/>
      <c r="AP255" s="3"/>
      <c r="AQ255" s="3"/>
      <c r="AR255" s="3"/>
      <c r="AS255" s="6"/>
      <c r="AT255" s="6"/>
      <c r="AU255" s="3"/>
      <c r="AV255" s="3"/>
      <c r="AW255" s="3"/>
      <c r="AX255" s="3"/>
      <c r="BN255" s="3"/>
      <c r="BO255" s="3"/>
    </row>
    <row r="256" spans="1:67" s="4" customFormat="1" ht="39.6" x14ac:dyDescent="0.25">
      <c r="A256" s="78" t="s">
        <v>436</v>
      </c>
      <c r="B256" s="16" t="s">
        <v>5</v>
      </c>
      <c r="C256" s="16" t="s">
        <v>437</v>
      </c>
      <c r="D256" s="54">
        <f>+D257</f>
        <v>14840000</v>
      </c>
      <c r="E256" s="54">
        <f t="shared" ref="E256" si="46">+E257</f>
        <v>14840000</v>
      </c>
      <c r="F256" s="54">
        <f t="shared" si="36"/>
        <v>0</v>
      </c>
      <c r="G256" s="125">
        <f t="shared" si="35"/>
        <v>100</v>
      </c>
      <c r="H256" s="3"/>
      <c r="I256" s="2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122"/>
      <c r="X256" s="3"/>
      <c r="Y256" s="3"/>
      <c r="Z256" s="3"/>
      <c r="AA256" s="3"/>
      <c r="AD256" s="5"/>
      <c r="AE256" s="5"/>
      <c r="AF256" s="5"/>
      <c r="AG256" s="5"/>
      <c r="AH256" s="5"/>
      <c r="AI256" s="5"/>
      <c r="AJ256" s="3"/>
      <c r="AK256" s="3"/>
      <c r="AL256" s="3"/>
      <c r="AM256" s="3"/>
      <c r="AN256" s="3"/>
      <c r="AO256" s="3"/>
      <c r="AP256" s="3"/>
      <c r="AQ256" s="3"/>
      <c r="AR256" s="3"/>
      <c r="AS256" s="6"/>
      <c r="AT256" s="6"/>
      <c r="AU256" s="3"/>
      <c r="AV256" s="3"/>
      <c r="AW256" s="3"/>
      <c r="AX256" s="3"/>
      <c r="BN256" s="3"/>
      <c r="BO256" s="3"/>
    </row>
    <row r="257" spans="1:67" s="4" customFormat="1" ht="39.6" x14ac:dyDescent="0.25">
      <c r="A257" s="78" t="s">
        <v>430</v>
      </c>
      <c r="B257" s="16" t="s">
        <v>268</v>
      </c>
      <c r="C257" s="16" t="s">
        <v>431</v>
      </c>
      <c r="D257" s="54">
        <v>14840000</v>
      </c>
      <c r="E257" s="54">
        <v>14840000</v>
      </c>
      <c r="F257" s="54">
        <f t="shared" si="36"/>
        <v>0</v>
      </c>
      <c r="G257" s="125">
        <f t="shared" si="35"/>
        <v>100</v>
      </c>
      <c r="H257" s="3"/>
      <c r="I257" s="2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122"/>
      <c r="X257" s="3"/>
      <c r="Y257" s="3"/>
      <c r="Z257" s="3"/>
      <c r="AA257" s="3"/>
      <c r="AD257" s="5"/>
      <c r="AE257" s="5"/>
      <c r="AF257" s="5"/>
      <c r="AG257" s="5"/>
      <c r="AH257" s="5"/>
      <c r="AI257" s="5"/>
      <c r="AJ257" s="3"/>
      <c r="AK257" s="3"/>
      <c r="AL257" s="3"/>
      <c r="AM257" s="3"/>
      <c r="AN257" s="3"/>
      <c r="AO257" s="3"/>
      <c r="AP257" s="3"/>
      <c r="AQ257" s="3"/>
      <c r="AR257" s="3"/>
      <c r="AS257" s="6"/>
      <c r="AT257" s="6"/>
      <c r="AU257" s="3"/>
      <c r="AV257" s="3"/>
      <c r="AW257" s="3"/>
      <c r="AX257" s="3"/>
      <c r="BN257" s="3"/>
      <c r="BO257" s="3"/>
    </row>
    <row r="258" spans="1:67" s="4" customFormat="1" ht="52.8" x14ac:dyDescent="0.25">
      <c r="A258" s="97" t="s">
        <v>250</v>
      </c>
      <c r="B258" s="66" t="s">
        <v>5</v>
      </c>
      <c r="C258" s="66" t="s">
        <v>251</v>
      </c>
      <c r="D258" s="54">
        <f t="shared" ref="D258:E258" si="47">+D259</f>
        <v>45880700</v>
      </c>
      <c r="E258" s="54">
        <f t="shared" si="47"/>
        <v>43180969.270000003</v>
      </c>
      <c r="F258" s="54">
        <f t="shared" si="36"/>
        <v>-2699730.7299999967</v>
      </c>
      <c r="G258" s="125">
        <f t="shared" si="35"/>
        <v>94.115759502361556</v>
      </c>
      <c r="H258" s="3"/>
      <c r="I258" s="2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122"/>
      <c r="X258" s="3"/>
      <c r="Y258" s="3"/>
      <c r="Z258" s="3"/>
      <c r="AA258" s="3"/>
      <c r="AD258" s="5"/>
      <c r="AE258" s="5"/>
      <c r="AF258" s="5"/>
      <c r="AG258" s="5"/>
      <c r="AH258" s="5"/>
      <c r="AI258" s="5"/>
      <c r="AJ258" s="3"/>
      <c r="AK258" s="3"/>
      <c r="AL258" s="3"/>
      <c r="AM258" s="3"/>
      <c r="AN258" s="3"/>
      <c r="AO258" s="3"/>
      <c r="AP258" s="3"/>
      <c r="AQ258" s="3"/>
      <c r="AR258" s="3"/>
      <c r="AS258" s="6"/>
      <c r="AT258" s="6"/>
      <c r="AU258" s="3"/>
      <c r="AV258" s="3"/>
      <c r="AW258" s="3"/>
      <c r="AX258" s="3"/>
      <c r="BN258" s="3"/>
      <c r="BO258" s="3"/>
    </row>
    <row r="259" spans="1:67" s="4" customFormat="1" ht="52.8" x14ac:dyDescent="0.25">
      <c r="A259" s="97" t="s">
        <v>252</v>
      </c>
      <c r="B259" s="66" t="s">
        <v>253</v>
      </c>
      <c r="C259" s="66" t="s">
        <v>254</v>
      </c>
      <c r="D259" s="54">
        <f>45880700</f>
        <v>45880700</v>
      </c>
      <c r="E259" s="54">
        <v>43180969.270000003</v>
      </c>
      <c r="F259" s="54">
        <f t="shared" si="36"/>
        <v>-2699730.7299999967</v>
      </c>
      <c r="G259" s="125">
        <f t="shared" si="35"/>
        <v>94.115759502361556</v>
      </c>
      <c r="H259" s="3"/>
      <c r="I259" s="2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122"/>
      <c r="X259" s="3"/>
      <c r="Y259" s="3"/>
      <c r="Z259" s="3"/>
      <c r="AA259" s="3"/>
      <c r="AD259" s="5"/>
      <c r="AE259" s="5"/>
      <c r="AF259" s="5"/>
      <c r="AG259" s="5"/>
      <c r="AH259" s="5"/>
      <c r="AI259" s="5"/>
      <c r="AJ259" s="3"/>
      <c r="AK259" s="3"/>
      <c r="AL259" s="3"/>
      <c r="AM259" s="3"/>
      <c r="AN259" s="3"/>
      <c r="AO259" s="3"/>
      <c r="AP259" s="3"/>
      <c r="AQ259" s="3"/>
      <c r="AR259" s="3"/>
      <c r="AS259" s="6"/>
      <c r="AT259" s="6"/>
      <c r="AU259" s="3"/>
      <c r="AV259" s="3"/>
      <c r="AW259" s="3"/>
      <c r="AX259" s="3"/>
      <c r="BN259" s="3"/>
      <c r="BO259" s="3"/>
    </row>
    <row r="260" spans="1:67" s="4" customFormat="1" ht="52.8" x14ac:dyDescent="0.25">
      <c r="A260" s="98" t="s">
        <v>255</v>
      </c>
      <c r="B260" s="36" t="s">
        <v>5</v>
      </c>
      <c r="C260" s="36" t="s">
        <v>256</v>
      </c>
      <c r="D260" s="54">
        <f>D261</f>
        <v>2783996.86</v>
      </c>
      <c r="E260" s="54">
        <f>E261</f>
        <v>2783996.86</v>
      </c>
      <c r="F260" s="54">
        <f t="shared" si="36"/>
        <v>0</v>
      </c>
      <c r="G260" s="125">
        <f t="shared" si="35"/>
        <v>100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122"/>
      <c r="X260" s="3"/>
      <c r="Y260" s="3"/>
      <c r="Z260" s="3"/>
      <c r="AA260" s="3"/>
      <c r="AD260" s="5"/>
      <c r="AE260" s="5"/>
      <c r="AF260" s="5"/>
      <c r="AG260" s="5"/>
      <c r="AH260" s="5"/>
      <c r="AI260" s="5"/>
      <c r="AJ260" s="3"/>
      <c r="AK260" s="3"/>
      <c r="AL260" s="3"/>
      <c r="AM260" s="3"/>
      <c r="AN260" s="3"/>
      <c r="AO260" s="3"/>
      <c r="AP260" s="3"/>
      <c r="AQ260" s="3"/>
      <c r="AR260" s="3"/>
      <c r="AS260" s="6"/>
      <c r="AT260" s="6"/>
      <c r="AU260" s="3"/>
      <c r="AV260" s="3"/>
      <c r="AW260" s="3"/>
      <c r="AX260" s="3"/>
      <c r="BN260" s="3"/>
      <c r="BO260" s="3"/>
    </row>
    <row r="261" spans="1:67" s="4" customFormat="1" ht="52.8" x14ac:dyDescent="0.25">
      <c r="A261" s="98" t="s">
        <v>257</v>
      </c>
      <c r="B261" s="16" t="s">
        <v>258</v>
      </c>
      <c r="C261" s="16" t="s">
        <v>259</v>
      </c>
      <c r="D261" s="54">
        <f>2784000-3.14</f>
        <v>2783996.86</v>
      </c>
      <c r="E261" s="54">
        <f>2784000-3.14</f>
        <v>2783996.86</v>
      </c>
      <c r="F261" s="54">
        <f t="shared" si="36"/>
        <v>0</v>
      </c>
      <c r="G261" s="125">
        <f t="shared" si="35"/>
        <v>100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122"/>
      <c r="X261" s="3"/>
      <c r="Y261" s="3"/>
      <c r="Z261" s="3"/>
      <c r="AA261" s="3"/>
      <c r="AD261" s="5"/>
      <c r="AE261" s="5"/>
      <c r="AF261" s="5"/>
      <c r="AG261" s="5"/>
      <c r="AH261" s="5"/>
      <c r="AI261" s="5"/>
      <c r="AJ261" s="3"/>
      <c r="AK261" s="3"/>
      <c r="AL261" s="3"/>
      <c r="AM261" s="3"/>
      <c r="AN261" s="3"/>
      <c r="AO261" s="3"/>
      <c r="AP261" s="3"/>
      <c r="AQ261" s="3"/>
      <c r="AR261" s="3"/>
      <c r="AS261" s="6"/>
      <c r="AT261" s="6"/>
      <c r="AU261" s="3"/>
      <c r="AV261" s="3"/>
      <c r="AW261" s="3"/>
      <c r="AX261" s="3"/>
      <c r="BN261" s="3"/>
      <c r="BO261" s="3"/>
    </row>
    <row r="262" spans="1:67" s="4" customFormat="1" ht="26.4" x14ac:dyDescent="0.25">
      <c r="A262" s="98" t="s">
        <v>400</v>
      </c>
      <c r="B262" s="16" t="s">
        <v>5</v>
      </c>
      <c r="C262" s="16" t="s">
        <v>401</v>
      </c>
      <c r="D262" s="54">
        <f>+D263</f>
        <v>17274741.66</v>
      </c>
      <c r="E262" s="54">
        <f t="shared" ref="E262" si="48">+E263</f>
        <v>17274739.629999999</v>
      </c>
      <c r="F262" s="54">
        <f t="shared" si="36"/>
        <v>-2.0300000011920929</v>
      </c>
      <c r="G262" s="125">
        <f t="shared" si="35"/>
        <v>99.999988248738873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122"/>
      <c r="X262" s="3"/>
      <c r="Y262" s="3"/>
      <c r="Z262" s="3"/>
      <c r="AA262" s="3"/>
      <c r="AD262" s="5"/>
      <c r="AE262" s="5"/>
      <c r="AF262" s="5"/>
      <c r="AG262" s="5"/>
      <c r="AH262" s="5"/>
      <c r="AI262" s="5"/>
      <c r="AJ262" s="3"/>
      <c r="AK262" s="3"/>
      <c r="AL262" s="3"/>
      <c r="AM262" s="3"/>
      <c r="AN262" s="3"/>
      <c r="AO262" s="3"/>
      <c r="AP262" s="3"/>
      <c r="AQ262" s="3"/>
      <c r="AR262" s="3"/>
      <c r="AS262" s="6"/>
      <c r="AT262" s="6"/>
      <c r="AU262" s="3"/>
      <c r="AV262" s="3"/>
      <c r="AW262" s="3"/>
      <c r="AX262" s="3"/>
      <c r="BN262" s="3"/>
      <c r="BO262" s="3"/>
    </row>
    <row r="263" spans="1:67" s="4" customFormat="1" ht="26.4" x14ac:dyDescent="0.25">
      <c r="A263" s="98" t="s">
        <v>398</v>
      </c>
      <c r="B263" s="16" t="s">
        <v>268</v>
      </c>
      <c r="C263" s="16" t="s">
        <v>399</v>
      </c>
      <c r="D263" s="54">
        <v>17274741.66</v>
      </c>
      <c r="E263" s="54">
        <v>17274739.629999999</v>
      </c>
      <c r="F263" s="54">
        <f t="shared" si="36"/>
        <v>-2.0300000011920929</v>
      </c>
      <c r="G263" s="125">
        <f t="shared" ref="G263:G326" si="49">E263/D263*100</f>
        <v>99.999988248738873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122"/>
      <c r="X263" s="3"/>
      <c r="Y263" s="3"/>
      <c r="Z263" s="3"/>
      <c r="AA263" s="3"/>
      <c r="AD263" s="5"/>
      <c r="AE263" s="5"/>
      <c r="AF263" s="5"/>
      <c r="AG263" s="5"/>
      <c r="AH263" s="5"/>
      <c r="AI263" s="5"/>
      <c r="AJ263" s="3"/>
      <c r="AK263" s="3"/>
      <c r="AL263" s="3"/>
      <c r="AM263" s="3"/>
      <c r="AN263" s="3"/>
      <c r="AO263" s="3"/>
      <c r="AP263" s="3"/>
      <c r="AQ263" s="3"/>
      <c r="AR263" s="3"/>
      <c r="AS263" s="6"/>
      <c r="AT263" s="6"/>
      <c r="AU263" s="3"/>
      <c r="AV263" s="3"/>
      <c r="AW263" s="3"/>
      <c r="AX263" s="3"/>
      <c r="BN263" s="3"/>
      <c r="BO263" s="3"/>
    </row>
    <row r="264" spans="1:67" s="4" customFormat="1" x14ac:dyDescent="0.25">
      <c r="A264" s="98" t="s">
        <v>319</v>
      </c>
      <c r="B264" s="16" t="s">
        <v>5</v>
      </c>
      <c r="C264" s="16" t="s">
        <v>320</v>
      </c>
      <c r="D264" s="54">
        <f t="shared" ref="D264:E264" si="50">+D265</f>
        <v>444780</v>
      </c>
      <c r="E264" s="54">
        <f t="shared" si="50"/>
        <v>444780</v>
      </c>
      <c r="F264" s="54">
        <f t="shared" ref="F264:F327" si="51">+E264-D264</f>
        <v>0</v>
      </c>
      <c r="G264" s="125">
        <f t="shared" si="49"/>
        <v>100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122"/>
      <c r="X264" s="3"/>
      <c r="Y264" s="3"/>
      <c r="Z264" s="3"/>
      <c r="AA264" s="3"/>
      <c r="AD264" s="5"/>
      <c r="AE264" s="5"/>
      <c r="AF264" s="5"/>
      <c r="AG264" s="5"/>
      <c r="AH264" s="5"/>
      <c r="AI264" s="5"/>
      <c r="AJ264" s="3"/>
      <c r="AK264" s="3"/>
      <c r="AL264" s="3"/>
      <c r="AM264" s="3"/>
      <c r="AN264" s="3"/>
      <c r="AO264" s="3"/>
      <c r="AP264" s="3"/>
      <c r="AQ264" s="3"/>
      <c r="AR264" s="3"/>
      <c r="AS264" s="6"/>
      <c r="AT264" s="6"/>
      <c r="AU264" s="3"/>
      <c r="AV264" s="3"/>
      <c r="AW264" s="3"/>
      <c r="AX264" s="3"/>
      <c r="BN264" s="3"/>
      <c r="BO264" s="3"/>
    </row>
    <row r="265" spans="1:67" s="4" customFormat="1" ht="26.4" x14ac:dyDescent="0.25">
      <c r="A265" s="98" t="s">
        <v>322</v>
      </c>
      <c r="B265" s="16" t="s">
        <v>258</v>
      </c>
      <c r="C265" s="16" t="s">
        <v>321</v>
      </c>
      <c r="D265" s="54">
        <f>444800-20</f>
        <v>444780</v>
      </c>
      <c r="E265" s="54">
        <f>444800-20</f>
        <v>444780</v>
      </c>
      <c r="F265" s="54">
        <f t="shared" si="51"/>
        <v>0</v>
      </c>
      <c r="G265" s="125">
        <f t="shared" si="49"/>
        <v>100</v>
      </c>
      <c r="H265" s="25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122"/>
      <c r="X265" s="3"/>
      <c r="Y265" s="3"/>
      <c r="Z265" s="3"/>
      <c r="AA265" s="3"/>
      <c r="AD265" s="5"/>
      <c r="AE265" s="5"/>
      <c r="AF265" s="5"/>
      <c r="AG265" s="5"/>
      <c r="AH265" s="5"/>
      <c r="AI265" s="5"/>
      <c r="AJ265" s="3"/>
      <c r="AK265" s="3"/>
      <c r="AL265" s="3"/>
      <c r="AM265" s="3"/>
      <c r="AN265" s="3"/>
      <c r="AO265" s="3"/>
      <c r="AP265" s="3"/>
      <c r="AQ265" s="3"/>
      <c r="AR265" s="3"/>
      <c r="AS265" s="6"/>
      <c r="AT265" s="6"/>
      <c r="AU265" s="3"/>
      <c r="AV265" s="3"/>
      <c r="AW265" s="3"/>
      <c r="AX265" s="3"/>
      <c r="BN265" s="3"/>
      <c r="BO265" s="3"/>
    </row>
    <row r="266" spans="1:67" s="4" customFormat="1" ht="26.4" x14ac:dyDescent="0.25">
      <c r="A266" s="98" t="s">
        <v>391</v>
      </c>
      <c r="B266" s="16" t="s">
        <v>5</v>
      </c>
      <c r="C266" s="16" t="s">
        <v>392</v>
      </c>
      <c r="D266" s="54">
        <f>+D267</f>
        <v>37882079.939999998</v>
      </c>
      <c r="E266" s="54">
        <f t="shared" ref="E266" si="52">+E267</f>
        <v>37882079.939999998</v>
      </c>
      <c r="F266" s="54">
        <f t="shared" si="51"/>
        <v>0</v>
      </c>
      <c r="G266" s="125">
        <f t="shared" si="49"/>
        <v>100</v>
      </c>
      <c r="H266" s="25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122"/>
      <c r="X266" s="3"/>
      <c r="Y266" s="3"/>
      <c r="Z266" s="3"/>
      <c r="AA266" s="3"/>
      <c r="AD266" s="5"/>
      <c r="AE266" s="5"/>
      <c r="AF266" s="5"/>
      <c r="AG266" s="5"/>
      <c r="AH266" s="5"/>
      <c r="AI266" s="5"/>
      <c r="AJ266" s="3"/>
      <c r="AK266" s="3"/>
      <c r="AL266" s="3"/>
      <c r="AM266" s="3"/>
      <c r="AN266" s="3"/>
      <c r="AO266" s="3"/>
      <c r="AP266" s="3"/>
      <c r="AQ266" s="3"/>
      <c r="AR266" s="3"/>
      <c r="AS266" s="6"/>
      <c r="AT266" s="6"/>
      <c r="AU266" s="3"/>
      <c r="AV266" s="3"/>
      <c r="AW266" s="3"/>
      <c r="AX266" s="3"/>
      <c r="BN266" s="3"/>
      <c r="BO266" s="3"/>
    </row>
    <row r="267" spans="1:67" s="4" customFormat="1" ht="26.4" x14ac:dyDescent="0.25">
      <c r="A267" s="98" t="s">
        <v>389</v>
      </c>
      <c r="B267" s="16" t="s">
        <v>79</v>
      </c>
      <c r="C267" s="16" t="s">
        <v>390</v>
      </c>
      <c r="D267" s="54">
        <f>39167200-1285120.06</f>
        <v>37882079.939999998</v>
      </c>
      <c r="E267" s="54">
        <f>39167200-1285120.06</f>
        <v>37882079.939999998</v>
      </c>
      <c r="F267" s="54">
        <f t="shared" si="51"/>
        <v>0</v>
      </c>
      <c r="G267" s="125">
        <f t="shared" si="49"/>
        <v>100</v>
      </c>
      <c r="H267" s="25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122"/>
      <c r="X267" s="3"/>
      <c r="Y267" s="3"/>
      <c r="Z267" s="3"/>
      <c r="AA267" s="3"/>
      <c r="AD267" s="5"/>
      <c r="AE267" s="5"/>
      <c r="AF267" s="5"/>
      <c r="AG267" s="5"/>
      <c r="AH267" s="5"/>
      <c r="AI267" s="5"/>
      <c r="AJ267" s="3"/>
      <c r="AK267" s="3"/>
      <c r="AL267" s="3"/>
      <c r="AM267" s="3"/>
      <c r="AN267" s="3"/>
      <c r="AO267" s="3"/>
      <c r="AP267" s="3"/>
      <c r="AQ267" s="3"/>
      <c r="AR267" s="3"/>
      <c r="AS267" s="6"/>
      <c r="AT267" s="6"/>
      <c r="AU267" s="3"/>
      <c r="AV267" s="3"/>
      <c r="AW267" s="3"/>
      <c r="AX267" s="3"/>
      <c r="BN267" s="3"/>
      <c r="BO267" s="3"/>
    </row>
    <row r="268" spans="1:67" s="4" customFormat="1" ht="26.4" x14ac:dyDescent="0.25">
      <c r="A268" s="98" t="s">
        <v>396</v>
      </c>
      <c r="B268" s="16" t="s">
        <v>5</v>
      </c>
      <c r="C268" s="16" t="s">
        <v>397</v>
      </c>
      <c r="D268" s="54">
        <f>+D269</f>
        <v>4832296.28</v>
      </c>
      <c r="E268" s="54">
        <f t="shared" ref="E268" si="53">+E269</f>
        <v>4832296.28</v>
      </c>
      <c r="F268" s="54">
        <f t="shared" si="51"/>
        <v>0</v>
      </c>
      <c r="G268" s="125">
        <f t="shared" si="49"/>
        <v>100</v>
      </c>
      <c r="H268" s="25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122"/>
      <c r="X268" s="3"/>
      <c r="Y268" s="3"/>
      <c r="Z268" s="3"/>
      <c r="AA268" s="3"/>
      <c r="AD268" s="5"/>
      <c r="AE268" s="5"/>
      <c r="AF268" s="5"/>
      <c r="AG268" s="5"/>
      <c r="AH268" s="5"/>
      <c r="AI268" s="5"/>
      <c r="AJ268" s="3"/>
      <c r="AK268" s="3"/>
      <c r="AL268" s="3"/>
      <c r="AM268" s="3"/>
      <c r="AN268" s="3"/>
      <c r="AO268" s="3"/>
      <c r="AP268" s="3"/>
      <c r="AQ268" s="3"/>
      <c r="AR268" s="3"/>
      <c r="AS268" s="6"/>
      <c r="AT268" s="6"/>
      <c r="AU268" s="3"/>
      <c r="AV268" s="3"/>
      <c r="AW268" s="3"/>
      <c r="AX268" s="3"/>
      <c r="BN268" s="3"/>
      <c r="BO268" s="3"/>
    </row>
    <row r="269" spans="1:67" s="4" customFormat="1" ht="26.4" x14ac:dyDescent="0.25">
      <c r="A269" s="98" t="s">
        <v>394</v>
      </c>
      <c r="B269" s="16" t="s">
        <v>258</v>
      </c>
      <c r="C269" s="16" t="s">
        <v>395</v>
      </c>
      <c r="D269" s="54">
        <v>4832296.28</v>
      </c>
      <c r="E269" s="54">
        <v>4832296.28</v>
      </c>
      <c r="F269" s="54">
        <f t="shared" si="51"/>
        <v>0</v>
      </c>
      <c r="G269" s="125">
        <f t="shared" si="49"/>
        <v>100</v>
      </c>
      <c r="H269" s="25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122"/>
      <c r="X269" s="3"/>
      <c r="Y269" s="3"/>
      <c r="Z269" s="3"/>
      <c r="AA269" s="3"/>
      <c r="AD269" s="5"/>
      <c r="AE269" s="5"/>
      <c r="AF269" s="5"/>
      <c r="AG269" s="5"/>
      <c r="AH269" s="5"/>
      <c r="AI269" s="5"/>
      <c r="AJ269" s="3"/>
      <c r="AK269" s="3"/>
      <c r="AL269" s="3"/>
      <c r="AM269" s="3"/>
      <c r="AN269" s="3"/>
      <c r="AO269" s="3"/>
      <c r="AP269" s="3"/>
      <c r="AQ269" s="3"/>
      <c r="AR269" s="3"/>
      <c r="AS269" s="6"/>
      <c r="AT269" s="6"/>
      <c r="AU269" s="3"/>
      <c r="AV269" s="3"/>
      <c r="AW269" s="3"/>
      <c r="AX269" s="3"/>
      <c r="BN269" s="3"/>
      <c r="BO269" s="3"/>
    </row>
    <row r="270" spans="1:67" s="4" customFormat="1" ht="26.4" x14ac:dyDescent="0.25">
      <c r="A270" s="98" t="s">
        <v>342</v>
      </c>
      <c r="B270" s="16" t="s">
        <v>5</v>
      </c>
      <c r="C270" s="16" t="s">
        <v>343</v>
      </c>
      <c r="D270" s="54">
        <f>+D271</f>
        <v>113933768.54000001</v>
      </c>
      <c r="E270" s="54">
        <f t="shared" ref="E270" si="54">+E271</f>
        <v>113019601.13</v>
      </c>
      <c r="F270" s="54">
        <f t="shared" si="51"/>
        <v>-914167.41000001132</v>
      </c>
      <c r="G270" s="125">
        <f t="shared" si="49"/>
        <v>99.197632605579031</v>
      </c>
      <c r="H270" s="25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122"/>
      <c r="X270" s="3"/>
      <c r="Y270" s="3"/>
      <c r="Z270" s="3"/>
      <c r="AA270" s="3"/>
      <c r="AD270" s="5"/>
      <c r="AE270" s="5"/>
      <c r="AF270" s="5"/>
      <c r="AG270" s="5"/>
      <c r="AH270" s="5"/>
      <c r="AI270" s="5"/>
      <c r="AJ270" s="3"/>
      <c r="AK270" s="3"/>
      <c r="AL270" s="3"/>
      <c r="AM270" s="3"/>
      <c r="AN270" s="3"/>
      <c r="AO270" s="3"/>
      <c r="AP270" s="3"/>
      <c r="AQ270" s="3"/>
      <c r="AR270" s="3"/>
      <c r="AS270" s="6"/>
      <c r="AT270" s="6"/>
      <c r="AU270" s="3"/>
      <c r="AV270" s="3"/>
      <c r="AW270" s="3"/>
      <c r="AX270" s="3"/>
      <c r="BN270" s="3"/>
      <c r="BO270" s="3"/>
    </row>
    <row r="271" spans="1:67" s="4" customFormat="1" ht="26.4" x14ac:dyDescent="0.25">
      <c r="A271" s="98" t="s">
        <v>340</v>
      </c>
      <c r="B271" s="16" t="s">
        <v>253</v>
      </c>
      <c r="C271" s="16" t="s">
        <v>341</v>
      </c>
      <c r="D271" s="54">
        <f>117542700-3608931.46</f>
        <v>113933768.54000001</v>
      </c>
      <c r="E271" s="54">
        <v>113019601.13</v>
      </c>
      <c r="F271" s="54">
        <f t="shared" si="51"/>
        <v>-914167.41000001132</v>
      </c>
      <c r="G271" s="125">
        <f t="shared" si="49"/>
        <v>99.197632605579031</v>
      </c>
      <c r="H271" s="25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122"/>
      <c r="X271" s="3"/>
      <c r="Y271" s="3"/>
      <c r="Z271" s="3"/>
      <c r="AA271" s="3"/>
      <c r="AD271" s="5"/>
      <c r="AE271" s="5"/>
      <c r="AF271" s="5"/>
      <c r="AG271" s="5"/>
      <c r="AH271" s="5"/>
      <c r="AI271" s="5"/>
      <c r="AJ271" s="3"/>
      <c r="AK271" s="3"/>
      <c r="AL271" s="3"/>
      <c r="AM271" s="3"/>
      <c r="AN271" s="3"/>
      <c r="AO271" s="3"/>
      <c r="AP271" s="3"/>
      <c r="AQ271" s="3"/>
      <c r="AR271" s="3"/>
      <c r="AS271" s="6"/>
      <c r="AT271" s="6"/>
      <c r="AU271" s="3"/>
      <c r="AV271" s="3"/>
      <c r="AW271" s="3"/>
      <c r="AX271" s="3"/>
      <c r="BN271" s="3"/>
      <c r="BO271" s="3"/>
    </row>
    <row r="272" spans="1:67" s="4" customFormat="1" x14ac:dyDescent="0.25">
      <c r="A272" s="78" t="s">
        <v>260</v>
      </c>
      <c r="B272" s="16" t="s">
        <v>5</v>
      </c>
      <c r="C272" s="32" t="s">
        <v>261</v>
      </c>
      <c r="D272" s="54">
        <f>+D273</f>
        <v>563053153.79999995</v>
      </c>
      <c r="E272" s="54">
        <f>+E273</f>
        <v>540630562.83000004</v>
      </c>
      <c r="F272" s="54">
        <f t="shared" si="51"/>
        <v>-22422590.969999909</v>
      </c>
      <c r="G272" s="125">
        <f t="shared" si="49"/>
        <v>96.017677759431479</v>
      </c>
      <c r="H272" s="3"/>
      <c r="I272" s="25"/>
      <c r="J272" s="25"/>
      <c r="K272" s="25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122"/>
      <c r="X272" s="3"/>
      <c r="Y272" s="3"/>
      <c r="Z272" s="3"/>
      <c r="AA272" s="3"/>
      <c r="AD272" s="5"/>
      <c r="AE272" s="5"/>
      <c r="AF272" s="5"/>
      <c r="AG272" s="5"/>
      <c r="AH272" s="5"/>
      <c r="AI272" s="5"/>
      <c r="AJ272" s="3"/>
      <c r="AK272" s="3"/>
      <c r="AL272" s="3"/>
      <c r="AM272" s="3"/>
      <c r="AN272" s="3"/>
      <c r="AO272" s="3"/>
      <c r="AP272" s="3"/>
      <c r="AQ272" s="3"/>
      <c r="AR272" s="3"/>
      <c r="AS272" s="6"/>
      <c r="AT272" s="6"/>
      <c r="AU272" s="3"/>
      <c r="AV272" s="3"/>
      <c r="AW272" s="3"/>
      <c r="AX272" s="3"/>
      <c r="BN272" s="3"/>
      <c r="BO272" s="3"/>
    </row>
    <row r="273" spans="1:68" s="4" customFormat="1" x14ac:dyDescent="0.25">
      <c r="A273" s="78" t="s">
        <v>262</v>
      </c>
      <c r="B273" s="16" t="s">
        <v>5</v>
      </c>
      <c r="C273" s="32" t="s">
        <v>263</v>
      </c>
      <c r="D273" s="54">
        <f>+D274+D275+D276+D277+D278+D279+D280+D281+D282+D284+D285+D287+D288+D289+D290+D283+D286+D292+D291</f>
        <v>563053153.79999995</v>
      </c>
      <c r="E273" s="54">
        <f t="shared" ref="E273" si="55">+E274+E275+E276+E277+E278+E279+E280+E281+E282+E284+E285+E287+E288+E289+E290+E283+E286+E292+E291</f>
        <v>540630562.83000004</v>
      </c>
      <c r="F273" s="54">
        <f t="shared" si="51"/>
        <v>-22422590.969999909</v>
      </c>
      <c r="G273" s="125">
        <f t="shared" si="49"/>
        <v>96.017677759431479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122"/>
      <c r="X273" s="3"/>
      <c r="Y273" s="3"/>
      <c r="Z273" s="3"/>
      <c r="AA273" s="3"/>
      <c r="AD273" s="5"/>
      <c r="AE273" s="5"/>
      <c r="AF273" s="5"/>
      <c r="AG273" s="5"/>
      <c r="AH273" s="5"/>
      <c r="AI273" s="5"/>
      <c r="AJ273" s="3"/>
      <c r="AK273" s="3"/>
      <c r="AL273" s="3"/>
      <c r="AM273" s="3"/>
      <c r="AN273" s="3"/>
      <c r="AO273" s="3"/>
      <c r="AP273" s="3"/>
      <c r="AQ273" s="3"/>
      <c r="AR273" s="3"/>
      <c r="AS273" s="6"/>
      <c r="AT273" s="6"/>
      <c r="AU273" s="3"/>
      <c r="AV273" s="3"/>
      <c r="AW273" s="3"/>
      <c r="AX273" s="3"/>
      <c r="BN273" s="3"/>
      <c r="BO273" s="3"/>
    </row>
    <row r="274" spans="1:68" s="4" customFormat="1" ht="45.6" customHeight="1" x14ac:dyDescent="0.25">
      <c r="A274" s="80" t="s">
        <v>326</v>
      </c>
      <c r="B274" s="16" t="s">
        <v>258</v>
      </c>
      <c r="C274" s="32" t="s">
        <v>263</v>
      </c>
      <c r="D274" s="54">
        <f>90044700-25000000+40000000-15000000</f>
        <v>90044700</v>
      </c>
      <c r="E274" s="54">
        <v>90044700</v>
      </c>
      <c r="F274" s="54">
        <f t="shared" si="51"/>
        <v>0</v>
      </c>
      <c r="G274" s="125">
        <f t="shared" si="49"/>
        <v>100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122"/>
      <c r="X274" s="3"/>
      <c r="Y274" s="3"/>
      <c r="Z274" s="3"/>
      <c r="AA274" s="3"/>
      <c r="AD274" s="5"/>
      <c r="AE274" s="5"/>
      <c r="AF274" s="5"/>
      <c r="AG274" s="5"/>
      <c r="AH274" s="5"/>
      <c r="AI274" s="5"/>
      <c r="AJ274" s="3"/>
      <c r="AK274" s="3"/>
      <c r="AL274" s="3"/>
      <c r="AM274" s="3"/>
      <c r="AN274" s="3"/>
      <c r="AO274" s="3"/>
      <c r="AP274" s="3"/>
      <c r="AQ274" s="3"/>
      <c r="AR274" s="3"/>
      <c r="AS274" s="6"/>
      <c r="AT274" s="6"/>
      <c r="AU274" s="3"/>
      <c r="AV274" s="3"/>
      <c r="AW274" s="3"/>
      <c r="AX274" s="3"/>
      <c r="BN274" s="3"/>
      <c r="BO274" s="3"/>
      <c r="BP274" s="61"/>
    </row>
    <row r="275" spans="1:68" s="4" customFormat="1" ht="39.6" x14ac:dyDescent="0.25">
      <c r="A275" s="80" t="s">
        <v>393</v>
      </c>
      <c r="B275" s="16" t="s">
        <v>258</v>
      </c>
      <c r="C275" s="32" t="s">
        <v>263</v>
      </c>
      <c r="D275" s="54">
        <v>658040</v>
      </c>
      <c r="E275" s="54">
        <v>658040</v>
      </c>
      <c r="F275" s="54">
        <f t="shared" si="51"/>
        <v>0</v>
      </c>
      <c r="G275" s="125">
        <f t="shared" si="49"/>
        <v>100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122"/>
      <c r="X275" s="3"/>
      <c r="Y275" s="3"/>
      <c r="Z275" s="3"/>
      <c r="AA275" s="3"/>
      <c r="AD275" s="5"/>
      <c r="AE275" s="5"/>
      <c r="AF275" s="5"/>
      <c r="AG275" s="5"/>
      <c r="AH275" s="5"/>
      <c r="AI275" s="5"/>
      <c r="AJ275" s="3"/>
      <c r="AK275" s="3"/>
      <c r="AL275" s="3"/>
      <c r="AM275" s="3"/>
      <c r="AN275" s="3"/>
      <c r="AO275" s="3"/>
      <c r="AP275" s="3"/>
      <c r="AQ275" s="3"/>
      <c r="AR275" s="3"/>
      <c r="AS275" s="6"/>
      <c r="AT275" s="6"/>
      <c r="AU275" s="3"/>
      <c r="AV275" s="3"/>
      <c r="AW275" s="3"/>
      <c r="AX275" s="3"/>
      <c r="BN275" s="3"/>
      <c r="BO275" s="3"/>
      <c r="BP275" s="61"/>
    </row>
    <row r="276" spans="1:68" s="4" customFormat="1" ht="66" hidden="1" x14ac:dyDescent="0.25">
      <c r="A276" s="94" t="s">
        <v>338</v>
      </c>
      <c r="B276" s="16" t="s">
        <v>253</v>
      </c>
      <c r="C276" s="32" t="s">
        <v>263</v>
      </c>
      <c r="D276" s="57">
        <f>6953500-6953500</f>
        <v>0</v>
      </c>
      <c r="E276" s="57">
        <f>6953500-6953500</f>
        <v>0</v>
      </c>
      <c r="F276" s="54">
        <f t="shared" si="51"/>
        <v>0</v>
      </c>
      <c r="G276" s="125" t="e">
        <f t="shared" si="49"/>
        <v>#DIV/0!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122"/>
      <c r="X276" s="3"/>
      <c r="Y276" s="3"/>
      <c r="Z276" s="3"/>
      <c r="AA276" s="3"/>
      <c r="AD276" s="5"/>
      <c r="AE276" s="5"/>
      <c r="AF276" s="5"/>
      <c r="AG276" s="5"/>
      <c r="AH276" s="5"/>
      <c r="AI276" s="5"/>
      <c r="AJ276" s="3"/>
      <c r="AK276" s="3"/>
      <c r="AL276" s="3"/>
      <c r="AM276" s="3"/>
      <c r="AN276" s="3"/>
      <c r="AO276" s="3"/>
      <c r="AP276" s="3"/>
      <c r="AQ276" s="3"/>
      <c r="AR276" s="3"/>
      <c r="AS276" s="6"/>
      <c r="AT276" s="6"/>
      <c r="AU276" s="3"/>
      <c r="AV276" s="3"/>
      <c r="AW276" s="3"/>
      <c r="AX276" s="3"/>
      <c r="BN276" s="3"/>
      <c r="BO276" s="3"/>
    </row>
    <row r="277" spans="1:68" s="4" customFormat="1" ht="71.400000000000006" customHeight="1" x14ac:dyDescent="0.25">
      <c r="A277" s="94" t="s">
        <v>264</v>
      </c>
      <c r="B277" s="16" t="s">
        <v>253</v>
      </c>
      <c r="C277" s="32" t="s">
        <v>263</v>
      </c>
      <c r="D277" s="54">
        <f>2603200+347100</f>
        <v>2950300</v>
      </c>
      <c r="E277" s="54">
        <f>2603200+347100</f>
        <v>2950300</v>
      </c>
      <c r="F277" s="54">
        <f t="shared" si="51"/>
        <v>0</v>
      </c>
      <c r="G277" s="125">
        <f t="shared" si="49"/>
        <v>100</v>
      </c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122"/>
      <c r="X277" s="3"/>
      <c r="Y277" s="3"/>
      <c r="Z277" s="3"/>
      <c r="AA277" s="3"/>
      <c r="AD277" s="5"/>
      <c r="AE277" s="5"/>
      <c r="AF277" s="5"/>
      <c r="AG277" s="5"/>
      <c r="AH277" s="5"/>
      <c r="AI277" s="5"/>
      <c r="AJ277" s="3"/>
      <c r="AK277" s="3"/>
      <c r="AL277" s="3"/>
      <c r="AM277" s="3"/>
      <c r="AN277" s="3"/>
      <c r="AO277" s="3"/>
      <c r="AP277" s="3"/>
      <c r="AQ277" s="3"/>
      <c r="AR277" s="3"/>
      <c r="AS277" s="6"/>
      <c r="AT277" s="6"/>
      <c r="AU277" s="3"/>
      <c r="AV277" s="3"/>
      <c r="AW277" s="3"/>
      <c r="AX277" s="3"/>
      <c r="BN277" s="3"/>
      <c r="BO277" s="3"/>
    </row>
    <row r="278" spans="1:68" s="4" customFormat="1" ht="66" x14ac:dyDescent="0.25">
      <c r="A278" s="80" t="s">
        <v>265</v>
      </c>
      <c r="B278" s="16" t="s">
        <v>253</v>
      </c>
      <c r="C278" s="32" t="s">
        <v>263</v>
      </c>
      <c r="D278" s="54">
        <f>10850300+1725900+2352500</f>
        <v>14928700</v>
      </c>
      <c r="E278" s="54">
        <v>13396540.99</v>
      </c>
      <c r="F278" s="54">
        <f t="shared" si="51"/>
        <v>-1532159.0099999998</v>
      </c>
      <c r="G278" s="125">
        <f t="shared" si="49"/>
        <v>89.736822295310375</v>
      </c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122"/>
      <c r="X278" s="3"/>
      <c r="Y278" s="3"/>
      <c r="Z278" s="3"/>
      <c r="AA278" s="3"/>
      <c r="AD278" s="5"/>
      <c r="AE278" s="5"/>
      <c r="AF278" s="5"/>
      <c r="AG278" s="5"/>
      <c r="AH278" s="5"/>
      <c r="AI278" s="5"/>
      <c r="AJ278" s="3"/>
      <c r="AK278" s="3"/>
      <c r="AL278" s="3"/>
      <c r="AM278" s="3"/>
      <c r="AN278" s="3"/>
      <c r="AO278" s="3"/>
      <c r="AP278" s="3"/>
      <c r="AQ278" s="3"/>
      <c r="AR278" s="3"/>
      <c r="AS278" s="6"/>
      <c r="AT278" s="6"/>
      <c r="AU278" s="3"/>
      <c r="AV278" s="3"/>
      <c r="AW278" s="3"/>
      <c r="AX278" s="3"/>
      <c r="BN278" s="3"/>
      <c r="BO278" s="3"/>
    </row>
    <row r="279" spans="1:68" s="4" customFormat="1" ht="52.8" x14ac:dyDescent="0.25">
      <c r="A279" s="80" t="s">
        <v>266</v>
      </c>
      <c r="B279" s="16" t="s">
        <v>253</v>
      </c>
      <c r="C279" s="32" t="s">
        <v>263</v>
      </c>
      <c r="D279" s="54">
        <f>5036300-73400+449400+200300</f>
        <v>5612600</v>
      </c>
      <c r="E279" s="54">
        <v>5243318.9000000004</v>
      </c>
      <c r="F279" s="54">
        <f t="shared" si="51"/>
        <v>-369281.09999999963</v>
      </c>
      <c r="G279" s="125">
        <f t="shared" si="49"/>
        <v>93.420498521184484</v>
      </c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122"/>
      <c r="X279" s="3"/>
      <c r="Y279" s="3"/>
      <c r="Z279" s="3"/>
      <c r="AA279" s="3"/>
      <c r="AD279" s="5"/>
      <c r="AE279" s="5"/>
      <c r="AF279" s="5"/>
      <c r="AG279" s="5"/>
      <c r="AH279" s="5"/>
      <c r="AI279" s="5"/>
      <c r="AJ279" s="3"/>
      <c r="AK279" s="3"/>
      <c r="AL279" s="3"/>
      <c r="AM279" s="3"/>
      <c r="AN279" s="3"/>
      <c r="AO279" s="3"/>
      <c r="AP279" s="3"/>
      <c r="AQ279" s="3"/>
      <c r="AR279" s="3"/>
      <c r="AS279" s="6"/>
      <c r="AT279" s="6"/>
      <c r="AU279" s="3"/>
      <c r="AV279" s="3"/>
      <c r="AW279" s="3"/>
      <c r="AX279" s="3"/>
      <c r="BN279" s="3"/>
      <c r="BO279" s="3"/>
    </row>
    <row r="280" spans="1:68" s="4" customFormat="1" ht="45" customHeight="1" x14ac:dyDescent="0.25">
      <c r="A280" s="92" t="s">
        <v>530</v>
      </c>
      <c r="B280" s="16" t="s">
        <v>253</v>
      </c>
      <c r="C280" s="32" t="s">
        <v>263</v>
      </c>
      <c r="D280" s="54">
        <v>13064900</v>
      </c>
      <c r="E280" s="54">
        <v>13042968.640000001</v>
      </c>
      <c r="F280" s="54">
        <f t="shared" si="51"/>
        <v>-21931.359999999404</v>
      </c>
      <c r="G280" s="125">
        <f t="shared" si="49"/>
        <v>99.832135263186089</v>
      </c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122"/>
      <c r="X280" s="3"/>
      <c r="Y280" s="3"/>
      <c r="Z280" s="3"/>
      <c r="AA280" s="3"/>
      <c r="AD280" s="5"/>
      <c r="AE280" s="5"/>
      <c r="AF280" s="5"/>
      <c r="AG280" s="5"/>
      <c r="AH280" s="5"/>
      <c r="AI280" s="5"/>
      <c r="AJ280" s="3"/>
      <c r="AK280" s="3"/>
      <c r="AL280" s="3"/>
      <c r="AM280" s="3"/>
      <c r="AN280" s="3"/>
      <c r="AO280" s="3"/>
      <c r="AP280" s="3"/>
      <c r="AQ280" s="3"/>
      <c r="AR280" s="3"/>
      <c r="AS280" s="6"/>
      <c r="AT280" s="6"/>
      <c r="AU280" s="3"/>
      <c r="AV280" s="3"/>
      <c r="AW280" s="3"/>
      <c r="AX280" s="3"/>
      <c r="BN280" s="3"/>
      <c r="BO280" s="3"/>
    </row>
    <row r="281" spans="1:68" s="4" customFormat="1" ht="68.400000000000006" customHeight="1" x14ac:dyDescent="0.25">
      <c r="A281" s="92" t="s">
        <v>388</v>
      </c>
      <c r="B281" s="16" t="s">
        <v>253</v>
      </c>
      <c r="C281" s="32" t="s">
        <v>263</v>
      </c>
      <c r="D281" s="54">
        <v>1145689</v>
      </c>
      <c r="E281" s="54">
        <v>1145689</v>
      </c>
      <c r="F281" s="54">
        <f t="shared" si="51"/>
        <v>0</v>
      </c>
      <c r="G281" s="125">
        <f t="shared" si="49"/>
        <v>100</v>
      </c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122"/>
      <c r="X281" s="3"/>
      <c r="Y281" s="3"/>
      <c r="Z281" s="3"/>
      <c r="AA281" s="3"/>
      <c r="AD281" s="5"/>
      <c r="AE281" s="5"/>
      <c r="AF281" s="5"/>
      <c r="AG281" s="5"/>
      <c r="AH281" s="5"/>
      <c r="AI281" s="5"/>
      <c r="AJ281" s="3"/>
      <c r="AK281" s="3"/>
      <c r="AL281" s="3"/>
      <c r="AM281" s="3"/>
      <c r="AN281" s="3"/>
      <c r="AO281" s="3"/>
      <c r="AP281" s="3"/>
      <c r="AQ281" s="3"/>
      <c r="AR281" s="3"/>
      <c r="AS281" s="6"/>
      <c r="AT281" s="6"/>
      <c r="AU281" s="3"/>
      <c r="AV281" s="3"/>
      <c r="AW281" s="3"/>
      <c r="AX281" s="3"/>
      <c r="BN281" s="3"/>
      <c r="BO281" s="3"/>
    </row>
    <row r="282" spans="1:68" s="4" customFormat="1" ht="92.4" x14ac:dyDescent="0.25">
      <c r="A282" s="92" t="s">
        <v>402</v>
      </c>
      <c r="B282" s="16" t="s">
        <v>253</v>
      </c>
      <c r="C282" s="32" t="s">
        <v>263</v>
      </c>
      <c r="D282" s="54">
        <v>4158300</v>
      </c>
      <c r="E282" s="54">
        <v>4156492.12</v>
      </c>
      <c r="F282" s="54">
        <f t="shared" si="51"/>
        <v>-1807.8799999998882</v>
      </c>
      <c r="G282" s="125">
        <f t="shared" si="49"/>
        <v>99.956523579347333</v>
      </c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122"/>
      <c r="X282" s="3"/>
      <c r="Y282" s="3"/>
      <c r="Z282" s="3"/>
      <c r="AA282" s="3"/>
      <c r="AD282" s="5"/>
      <c r="AE282" s="5"/>
      <c r="AF282" s="5"/>
      <c r="AG282" s="5"/>
      <c r="AH282" s="5"/>
      <c r="AI282" s="5"/>
      <c r="AJ282" s="3"/>
      <c r="AK282" s="3"/>
      <c r="AL282" s="3"/>
      <c r="AM282" s="3"/>
      <c r="AN282" s="3"/>
      <c r="AO282" s="3"/>
      <c r="AP282" s="3"/>
      <c r="AQ282" s="3"/>
      <c r="AR282" s="3"/>
      <c r="AS282" s="6"/>
      <c r="AT282" s="6"/>
      <c r="AU282" s="3"/>
      <c r="AV282" s="3"/>
      <c r="AW282" s="3"/>
      <c r="AX282" s="3"/>
      <c r="BN282" s="3"/>
      <c r="BO282" s="3"/>
    </row>
    <row r="283" spans="1:68" s="4" customFormat="1" ht="60" customHeight="1" x14ac:dyDescent="0.25">
      <c r="A283" s="80" t="s">
        <v>438</v>
      </c>
      <c r="B283" s="16" t="s">
        <v>253</v>
      </c>
      <c r="C283" s="32" t="s">
        <v>263</v>
      </c>
      <c r="D283" s="54">
        <v>6025300</v>
      </c>
      <c r="E283" s="54">
        <v>6025300</v>
      </c>
      <c r="F283" s="54">
        <f t="shared" si="51"/>
        <v>0</v>
      </c>
      <c r="G283" s="125">
        <f t="shared" si="49"/>
        <v>100</v>
      </c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122"/>
      <c r="X283" s="3"/>
      <c r="Y283" s="3"/>
      <c r="Z283" s="3"/>
      <c r="AA283" s="3"/>
      <c r="AD283" s="5"/>
      <c r="AE283" s="5"/>
      <c r="AF283" s="5"/>
      <c r="AG283" s="5"/>
      <c r="AH283" s="5"/>
      <c r="AI283" s="5"/>
      <c r="AJ283" s="3"/>
      <c r="AK283" s="3"/>
      <c r="AL283" s="3"/>
      <c r="AM283" s="3"/>
      <c r="AN283" s="3"/>
      <c r="AO283" s="3"/>
      <c r="AP283" s="3"/>
      <c r="AQ283" s="3"/>
      <c r="AR283" s="3"/>
      <c r="AS283" s="6"/>
      <c r="AT283" s="6"/>
      <c r="AU283" s="3"/>
      <c r="AV283" s="3"/>
      <c r="AW283" s="3"/>
      <c r="AX283" s="3"/>
      <c r="BN283" s="3"/>
      <c r="BO283" s="3"/>
    </row>
    <row r="284" spans="1:68" s="4" customFormat="1" ht="135" customHeight="1" x14ac:dyDescent="0.25">
      <c r="A284" s="99" t="s">
        <v>325</v>
      </c>
      <c r="B284" s="16" t="s">
        <v>246</v>
      </c>
      <c r="C284" s="32" t="s">
        <v>263</v>
      </c>
      <c r="D284" s="54">
        <v>182080400</v>
      </c>
      <c r="E284" s="54">
        <v>182080400</v>
      </c>
      <c r="F284" s="54">
        <f t="shared" si="51"/>
        <v>0</v>
      </c>
      <c r="G284" s="125">
        <f t="shared" si="49"/>
        <v>100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122"/>
      <c r="X284" s="3"/>
      <c r="Y284" s="3"/>
      <c r="Z284" s="3"/>
      <c r="AA284" s="3"/>
      <c r="AD284" s="5"/>
      <c r="AE284" s="5"/>
      <c r="AF284" s="5"/>
      <c r="AG284" s="5"/>
      <c r="AH284" s="5"/>
      <c r="AI284" s="5"/>
      <c r="AJ284" s="3"/>
      <c r="AK284" s="3"/>
      <c r="AL284" s="3"/>
      <c r="AM284" s="3"/>
      <c r="AN284" s="3"/>
      <c r="AO284" s="3"/>
      <c r="AP284" s="3"/>
      <c r="AQ284" s="3"/>
      <c r="AR284" s="3"/>
      <c r="AS284" s="6"/>
      <c r="AT284" s="6"/>
      <c r="AU284" s="3"/>
      <c r="AV284" s="3"/>
      <c r="AW284" s="3"/>
      <c r="AX284" s="3"/>
      <c r="BN284" s="3"/>
      <c r="BO284" s="3"/>
    </row>
    <row r="285" spans="1:68" s="4" customFormat="1" ht="52.8" x14ac:dyDescent="0.25">
      <c r="A285" s="100" t="s">
        <v>267</v>
      </c>
      <c r="B285" s="16" t="s">
        <v>268</v>
      </c>
      <c r="C285" s="32" t="s">
        <v>263</v>
      </c>
      <c r="D285" s="54">
        <f>57656800+43918300-32240000</f>
        <v>69335100</v>
      </c>
      <c r="E285" s="54">
        <v>52783573.539999999</v>
      </c>
      <c r="F285" s="54">
        <f t="shared" si="51"/>
        <v>-16551526.460000001</v>
      </c>
      <c r="G285" s="125">
        <f t="shared" si="49"/>
        <v>76.128214338769254</v>
      </c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122"/>
      <c r="X285" s="3"/>
      <c r="Y285" s="3"/>
      <c r="Z285" s="3"/>
      <c r="AA285" s="3"/>
      <c r="AD285" s="5"/>
      <c r="AE285" s="5"/>
      <c r="AF285" s="5"/>
      <c r="AG285" s="5"/>
      <c r="AH285" s="5"/>
      <c r="AI285" s="5"/>
      <c r="AJ285" s="3"/>
      <c r="AK285" s="3"/>
      <c r="AL285" s="3"/>
      <c r="AM285" s="3"/>
      <c r="AN285" s="3"/>
      <c r="AO285" s="3"/>
      <c r="AP285" s="3"/>
      <c r="AQ285" s="3"/>
      <c r="AR285" s="3"/>
      <c r="AS285" s="6"/>
      <c r="AT285" s="6"/>
      <c r="AU285" s="3"/>
      <c r="AV285" s="3"/>
      <c r="AW285" s="3"/>
      <c r="AX285" s="3"/>
      <c r="BN285" s="3"/>
      <c r="BO285" s="3"/>
    </row>
    <row r="286" spans="1:68" s="4" customFormat="1" ht="66" x14ac:dyDescent="0.25">
      <c r="A286" s="80" t="s">
        <v>535</v>
      </c>
      <c r="B286" s="16" t="s">
        <v>268</v>
      </c>
      <c r="C286" s="32" t="s">
        <v>263</v>
      </c>
      <c r="D286" s="54">
        <v>337928</v>
      </c>
      <c r="E286" s="54">
        <v>337928</v>
      </c>
      <c r="F286" s="54">
        <f t="shared" si="51"/>
        <v>0</v>
      </c>
      <c r="G286" s="125">
        <f t="shared" si="49"/>
        <v>100</v>
      </c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122"/>
      <c r="X286" s="3"/>
      <c r="Y286" s="3"/>
      <c r="Z286" s="3"/>
      <c r="AA286" s="3"/>
      <c r="AD286" s="5"/>
      <c r="AE286" s="5"/>
      <c r="AF286" s="5"/>
      <c r="AG286" s="5"/>
      <c r="AH286" s="5"/>
      <c r="AI286" s="5"/>
      <c r="AJ286" s="3"/>
      <c r="AK286" s="3"/>
      <c r="AL286" s="3"/>
      <c r="AM286" s="3"/>
      <c r="AN286" s="3"/>
      <c r="AO286" s="3"/>
      <c r="AP286" s="3"/>
      <c r="AQ286" s="3"/>
      <c r="AR286" s="3"/>
      <c r="AS286" s="6"/>
      <c r="AT286" s="6"/>
      <c r="AU286" s="3"/>
      <c r="AV286" s="3"/>
      <c r="AW286" s="3"/>
      <c r="AX286" s="3"/>
      <c r="BN286" s="3"/>
      <c r="BO286" s="3"/>
    </row>
    <row r="287" spans="1:68" s="4" customFormat="1" ht="39.6" x14ac:dyDescent="0.25">
      <c r="A287" s="101" t="s">
        <v>544</v>
      </c>
      <c r="B287" s="16" t="s">
        <v>209</v>
      </c>
      <c r="C287" s="32" t="s">
        <v>263</v>
      </c>
      <c r="D287" s="54">
        <v>11611313.800000001</v>
      </c>
      <c r="E287" s="54">
        <v>11045642.720000001</v>
      </c>
      <c r="F287" s="54">
        <f t="shared" si="51"/>
        <v>-565671.08000000007</v>
      </c>
      <c r="G287" s="125">
        <f t="shared" si="49"/>
        <v>95.128276698542066</v>
      </c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122"/>
      <c r="X287" s="3"/>
      <c r="Y287" s="3"/>
      <c r="Z287" s="3"/>
      <c r="AA287" s="3"/>
      <c r="AD287" s="5"/>
      <c r="AE287" s="5"/>
      <c r="AF287" s="5"/>
      <c r="AG287" s="5"/>
      <c r="AH287" s="5"/>
      <c r="AI287" s="5"/>
      <c r="AJ287" s="3"/>
      <c r="AK287" s="3"/>
      <c r="AL287" s="3"/>
      <c r="AM287" s="3"/>
      <c r="AN287" s="3"/>
      <c r="AO287" s="3"/>
      <c r="AP287" s="3"/>
      <c r="AQ287" s="3"/>
      <c r="AR287" s="3"/>
      <c r="AS287" s="6"/>
      <c r="AT287" s="6"/>
      <c r="AU287" s="3"/>
      <c r="AV287" s="3"/>
      <c r="AW287" s="3"/>
      <c r="AX287" s="3"/>
      <c r="BN287" s="3"/>
      <c r="BO287" s="3"/>
    </row>
    <row r="288" spans="1:68" s="4" customFormat="1" ht="39.6" x14ac:dyDescent="0.25">
      <c r="A288" s="94" t="s">
        <v>269</v>
      </c>
      <c r="B288" s="16" t="s">
        <v>209</v>
      </c>
      <c r="C288" s="32" t="s">
        <v>263</v>
      </c>
      <c r="D288" s="54">
        <f>10000000+5000000</f>
        <v>15000000</v>
      </c>
      <c r="E288" s="54">
        <v>14525953.710000001</v>
      </c>
      <c r="F288" s="54">
        <f t="shared" si="51"/>
        <v>-474046.28999999911</v>
      </c>
      <c r="G288" s="125">
        <f t="shared" si="49"/>
        <v>96.839691400000007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122"/>
      <c r="X288" s="3"/>
      <c r="Y288" s="3"/>
      <c r="Z288" s="3"/>
      <c r="AA288" s="3"/>
      <c r="AD288" s="5"/>
      <c r="AE288" s="5"/>
      <c r="AF288" s="5"/>
      <c r="AG288" s="5"/>
      <c r="AH288" s="5"/>
      <c r="AI288" s="5"/>
      <c r="AJ288" s="3"/>
      <c r="AK288" s="3"/>
      <c r="AL288" s="3"/>
      <c r="AM288" s="3"/>
      <c r="AN288" s="3"/>
      <c r="AO288" s="3"/>
      <c r="AP288" s="3"/>
      <c r="AQ288" s="3"/>
      <c r="AR288" s="3"/>
      <c r="AS288" s="6"/>
      <c r="AT288" s="6"/>
      <c r="AU288" s="3"/>
      <c r="AV288" s="3"/>
      <c r="AW288" s="3"/>
      <c r="AX288" s="3"/>
      <c r="BN288" s="3"/>
      <c r="BO288" s="3"/>
    </row>
    <row r="289" spans="1:67" s="4" customFormat="1" ht="52.8" hidden="1" x14ac:dyDescent="0.25">
      <c r="A289" s="94" t="s">
        <v>339</v>
      </c>
      <c r="B289" s="16" t="s">
        <v>79</v>
      </c>
      <c r="C289" s="32" t="s">
        <v>263</v>
      </c>
      <c r="D289" s="54">
        <v>0</v>
      </c>
      <c r="E289" s="54">
        <v>0</v>
      </c>
      <c r="F289" s="54">
        <f t="shared" si="51"/>
        <v>0</v>
      </c>
      <c r="G289" s="125" t="e">
        <f t="shared" si="49"/>
        <v>#DIV/0!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122"/>
      <c r="X289" s="3"/>
      <c r="Y289" s="3"/>
      <c r="Z289" s="3"/>
      <c r="AA289" s="3"/>
      <c r="AD289" s="5"/>
      <c r="AE289" s="5"/>
      <c r="AF289" s="5"/>
      <c r="AG289" s="5"/>
      <c r="AH289" s="5"/>
      <c r="AI289" s="5"/>
      <c r="AJ289" s="3"/>
      <c r="AK289" s="3"/>
      <c r="AL289" s="3"/>
      <c r="AM289" s="3"/>
      <c r="AN289" s="3"/>
      <c r="AO289" s="3"/>
      <c r="AP289" s="3"/>
      <c r="AQ289" s="3"/>
      <c r="AR289" s="3"/>
      <c r="AS289" s="6"/>
      <c r="AT289" s="6"/>
      <c r="AU289" s="3"/>
      <c r="AV289" s="3"/>
      <c r="AW289" s="3"/>
      <c r="AX289" s="3"/>
      <c r="BN289" s="3"/>
      <c r="BO289" s="3"/>
    </row>
    <row r="290" spans="1:67" s="4" customFormat="1" ht="56.25" customHeight="1" x14ac:dyDescent="0.25">
      <c r="A290" s="94" t="s">
        <v>533</v>
      </c>
      <c r="B290" s="16" t="s">
        <v>79</v>
      </c>
      <c r="C290" s="32" t="s">
        <v>263</v>
      </c>
      <c r="D290" s="54">
        <v>142587683</v>
      </c>
      <c r="E290" s="54">
        <v>139681515.21000001</v>
      </c>
      <c r="F290" s="54">
        <f t="shared" si="51"/>
        <v>-2906167.7899999917</v>
      </c>
      <c r="G290" s="125">
        <f t="shared" si="49"/>
        <v>97.961838127350745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122"/>
      <c r="X290" s="3"/>
      <c r="Y290" s="3"/>
      <c r="Z290" s="3"/>
      <c r="AA290" s="3"/>
      <c r="AD290" s="5"/>
      <c r="AE290" s="5"/>
      <c r="AF290" s="5"/>
      <c r="AG290" s="5"/>
      <c r="AH290" s="5"/>
      <c r="AI290" s="5"/>
      <c r="AJ290" s="3"/>
      <c r="AK290" s="3"/>
      <c r="AL290" s="3"/>
      <c r="AM290" s="3"/>
      <c r="AN290" s="3"/>
      <c r="AO290" s="3"/>
      <c r="AP290" s="3"/>
      <c r="AQ290" s="3"/>
      <c r="AR290" s="3"/>
      <c r="AS290" s="6"/>
      <c r="AT290" s="6"/>
      <c r="AU290" s="3"/>
      <c r="AV290" s="3"/>
      <c r="AW290" s="3"/>
      <c r="AX290" s="3"/>
      <c r="BN290" s="3"/>
      <c r="BO290" s="3"/>
    </row>
    <row r="291" spans="1:67" s="4" customFormat="1" ht="39.6" hidden="1" x14ac:dyDescent="0.25">
      <c r="A291" s="80" t="s">
        <v>531</v>
      </c>
      <c r="B291" s="16" t="s">
        <v>79</v>
      </c>
      <c r="C291" s="32" t="s">
        <v>263</v>
      </c>
      <c r="D291" s="54">
        <v>0</v>
      </c>
      <c r="E291" s="54">
        <v>0</v>
      </c>
      <c r="F291" s="54">
        <f t="shared" si="51"/>
        <v>0</v>
      </c>
      <c r="G291" s="125" t="e">
        <f t="shared" si="49"/>
        <v>#DIV/0!</v>
      </c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122"/>
      <c r="X291" s="3"/>
      <c r="Y291" s="3"/>
      <c r="Z291" s="3"/>
      <c r="AA291" s="3"/>
      <c r="AD291" s="5"/>
      <c r="AE291" s="5"/>
      <c r="AF291" s="5"/>
      <c r="AG291" s="5"/>
      <c r="AH291" s="5"/>
      <c r="AI291" s="5"/>
      <c r="AJ291" s="3"/>
      <c r="AK291" s="3"/>
      <c r="AL291" s="3"/>
      <c r="AM291" s="3"/>
      <c r="AN291" s="3"/>
      <c r="AO291" s="3"/>
      <c r="AP291" s="3"/>
      <c r="AQ291" s="3"/>
      <c r="AR291" s="3"/>
      <c r="AS291" s="6"/>
      <c r="AT291" s="6"/>
      <c r="AU291" s="3"/>
      <c r="AV291" s="3"/>
      <c r="AW291" s="3"/>
      <c r="AX291" s="3"/>
      <c r="BN291" s="3"/>
      <c r="BO291" s="3"/>
    </row>
    <row r="292" spans="1:67" s="4" customFormat="1" ht="132" x14ac:dyDescent="0.25">
      <c r="A292" s="80" t="s">
        <v>532</v>
      </c>
      <c r="B292" s="16" t="s">
        <v>79</v>
      </c>
      <c r="C292" s="32" t="s">
        <v>263</v>
      </c>
      <c r="D292" s="54">
        <v>3512200</v>
      </c>
      <c r="E292" s="54">
        <v>3512200</v>
      </c>
      <c r="F292" s="54">
        <f t="shared" si="51"/>
        <v>0</v>
      </c>
      <c r="G292" s="125">
        <f t="shared" si="49"/>
        <v>100</v>
      </c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122"/>
      <c r="X292" s="3"/>
      <c r="Y292" s="3"/>
      <c r="Z292" s="3"/>
      <c r="AA292" s="3"/>
      <c r="AD292" s="5"/>
      <c r="AE292" s="5"/>
      <c r="AF292" s="5"/>
      <c r="AG292" s="5"/>
      <c r="AH292" s="5"/>
      <c r="AI292" s="5"/>
      <c r="AJ292" s="3"/>
      <c r="AK292" s="3"/>
      <c r="AL292" s="3"/>
      <c r="AM292" s="3"/>
      <c r="AN292" s="3"/>
      <c r="AO292" s="3"/>
      <c r="AP292" s="3"/>
      <c r="AQ292" s="3"/>
      <c r="AR292" s="3"/>
      <c r="AS292" s="6"/>
      <c r="AT292" s="6"/>
      <c r="AU292" s="3"/>
      <c r="AV292" s="3"/>
      <c r="AW292" s="3"/>
      <c r="AX292" s="3"/>
      <c r="BN292" s="3"/>
      <c r="BO292" s="3"/>
    </row>
    <row r="293" spans="1:67" s="4" customFormat="1" ht="21" customHeight="1" x14ac:dyDescent="0.25">
      <c r="A293" s="78" t="s">
        <v>270</v>
      </c>
      <c r="B293" s="16" t="s">
        <v>5</v>
      </c>
      <c r="C293" s="17" t="s">
        <v>271</v>
      </c>
      <c r="D293" s="54">
        <f>+D294+D309+D307</f>
        <v>2213818900</v>
      </c>
      <c r="E293" s="54">
        <f t="shared" ref="E293" si="56">+E294+E309+E307</f>
        <v>2160848401.3800001</v>
      </c>
      <c r="F293" s="54">
        <f t="shared" si="51"/>
        <v>-52970498.619999886</v>
      </c>
      <c r="G293" s="125">
        <f t="shared" si="49"/>
        <v>97.607279501498525</v>
      </c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122"/>
      <c r="X293" s="3"/>
      <c r="Y293" s="3"/>
      <c r="Z293" s="3"/>
      <c r="AA293" s="3"/>
      <c r="AD293" s="5"/>
      <c r="AE293" s="5"/>
      <c r="AF293" s="5"/>
      <c r="AG293" s="5"/>
      <c r="AH293" s="5"/>
      <c r="AI293" s="5"/>
      <c r="AJ293" s="3"/>
      <c r="AK293" s="3"/>
      <c r="AL293" s="3"/>
      <c r="AM293" s="3"/>
      <c r="AN293" s="3"/>
      <c r="AO293" s="3"/>
      <c r="AP293" s="3"/>
      <c r="AQ293" s="3"/>
      <c r="AR293" s="3"/>
      <c r="AS293" s="6"/>
      <c r="AT293" s="6"/>
      <c r="AU293" s="3"/>
      <c r="AV293" s="3"/>
      <c r="AW293" s="3"/>
      <c r="AX293" s="3"/>
      <c r="BN293" s="3"/>
      <c r="BO293" s="3"/>
    </row>
    <row r="294" spans="1:67" s="4" customFormat="1" ht="26.4" x14ac:dyDescent="0.25">
      <c r="A294" s="78" t="s">
        <v>272</v>
      </c>
      <c r="B294" s="16" t="s">
        <v>5</v>
      </c>
      <c r="C294" s="16" t="s">
        <v>273</v>
      </c>
      <c r="D294" s="54">
        <f>+D295</f>
        <v>28837500</v>
      </c>
      <c r="E294" s="54">
        <f>+E295</f>
        <v>28318971.32</v>
      </c>
      <c r="F294" s="54">
        <f t="shared" si="51"/>
        <v>-518528.6799999997</v>
      </c>
      <c r="G294" s="125">
        <f t="shared" si="49"/>
        <v>98.201894477676632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122"/>
      <c r="X294" s="3"/>
      <c r="Y294" s="3"/>
      <c r="Z294" s="3"/>
      <c r="AA294" s="3"/>
      <c r="AD294" s="5"/>
      <c r="AE294" s="5"/>
      <c r="AF294" s="5"/>
      <c r="AG294" s="5"/>
      <c r="AH294" s="5"/>
      <c r="AI294" s="5"/>
      <c r="AJ294" s="3"/>
      <c r="AK294" s="3"/>
      <c r="AL294" s="3"/>
      <c r="AM294" s="3"/>
      <c r="AN294" s="3"/>
      <c r="AO294" s="3"/>
      <c r="AP294" s="3"/>
      <c r="AQ294" s="3"/>
      <c r="AR294" s="3"/>
      <c r="AS294" s="6"/>
      <c r="AT294" s="6"/>
      <c r="AU294" s="3"/>
      <c r="AV294" s="3"/>
      <c r="AW294" s="3"/>
      <c r="AX294" s="3"/>
      <c r="BN294" s="3"/>
      <c r="BO294" s="3"/>
    </row>
    <row r="295" spans="1:67" s="40" customFormat="1" ht="26.4" x14ac:dyDescent="0.3">
      <c r="A295" s="78" t="s">
        <v>274</v>
      </c>
      <c r="B295" s="16" t="s">
        <v>5</v>
      </c>
      <c r="C295" s="16" t="s">
        <v>275</v>
      </c>
      <c r="D295" s="54">
        <f>SUM(D296:D306)</f>
        <v>28837500</v>
      </c>
      <c r="E295" s="54">
        <f>SUM(E296:E306)</f>
        <v>28318971.32</v>
      </c>
      <c r="F295" s="54">
        <f t="shared" si="51"/>
        <v>-518528.6799999997</v>
      </c>
      <c r="G295" s="125">
        <f t="shared" si="49"/>
        <v>98.201894477676632</v>
      </c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123"/>
      <c r="X295" s="39"/>
      <c r="Y295" s="39"/>
      <c r="Z295" s="39"/>
      <c r="AA295" s="39"/>
      <c r="AD295" s="41"/>
      <c r="AE295" s="41"/>
      <c r="AF295" s="41"/>
      <c r="AG295" s="41"/>
      <c r="AH295" s="41"/>
      <c r="AI295" s="41"/>
      <c r="AJ295" s="39"/>
      <c r="AK295" s="39"/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  <c r="AX295" s="39"/>
      <c r="BN295" s="39"/>
      <c r="BO295" s="39"/>
    </row>
    <row r="296" spans="1:67" s="4" customFormat="1" ht="39" customHeight="1" x14ac:dyDescent="0.25">
      <c r="A296" s="92" t="s">
        <v>475</v>
      </c>
      <c r="B296" s="16" t="s">
        <v>253</v>
      </c>
      <c r="C296" s="16" t="s">
        <v>275</v>
      </c>
      <c r="D296" s="57">
        <v>10069000</v>
      </c>
      <c r="E296" s="57">
        <v>10068922</v>
      </c>
      <c r="F296" s="54">
        <f t="shared" si="51"/>
        <v>-78</v>
      </c>
      <c r="G296" s="125">
        <f t="shared" si="49"/>
        <v>99.999225345118674</v>
      </c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122"/>
      <c r="X296" s="3"/>
      <c r="Y296" s="3"/>
      <c r="Z296" s="3"/>
      <c r="AA296" s="3"/>
      <c r="AD296" s="5"/>
      <c r="AE296" s="5"/>
      <c r="AF296" s="5"/>
      <c r="AG296" s="5"/>
      <c r="AH296" s="5"/>
      <c r="AI296" s="5"/>
      <c r="AJ296" s="3"/>
      <c r="AK296" s="3"/>
      <c r="AL296" s="3"/>
      <c r="AM296" s="3"/>
      <c r="AN296" s="3"/>
      <c r="AO296" s="3"/>
      <c r="AP296" s="3"/>
      <c r="AQ296" s="3"/>
      <c r="AR296" s="3"/>
      <c r="AS296" s="6"/>
      <c r="AT296" s="6"/>
      <c r="AU296" s="3"/>
      <c r="AV296" s="3"/>
      <c r="AW296" s="3"/>
      <c r="AX296" s="3"/>
      <c r="BN296" s="3"/>
      <c r="BO296" s="3"/>
    </row>
    <row r="297" spans="1:67" s="4" customFormat="1" ht="70.2" customHeight="1" x14ac:dyDescent="0.25">
      <c r="A297" s="80" t="s">
        <v>318</v>
      </c>
      <c r="B297" s="16" t="s">
        <v>253</v>
      </c>
      <c r="C297" s="16" t="s">
        <v>275</v>
      </c>
      <c r="D297" s="57">
        <v>80000</v>
      </c>
      <c r="E297" s="57">
        <v>80000</v>
      </c>
      <c r="F297" s="54">
        <f t="shared" si="51"/>
        <v>0</v>
      </c>
      <c r="G297" s="125">
        <f t="shared" si="49"/>
        <v>100</v>
      </c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122"/>
      <c r="X297" s="3"/>
      <c r="Y297" s="3"/>
      <c r="Z297" s="3"/>
      <c r="AA297" s="3"/>
      <c r="AD297" s="5"/>
      <c r="AE297" s="5"/>
      <c r="AF297" s="5"/>
      <c r="AG297" s="5"/>
      <c r="AH297" s="5"/>
      <c r="AI297" s="5"/>
      <c r="AJ297" s="3"/>
      <c r="AK297" s="3"/>
      <c r="AL297" s="3"/>
      <c r="AM297" s="3"/>
      <c r="AN297" s="3"/>
      <c r="AO297" s="3"/>
      <c r="AP297" s="3"/>
      <c r="AQ297" s="3"/>
      <c r="AR297" s="3"/>
      <c r="AS297" s="6"/>
      <c r="AT297" s="6"/>
      <c r="AU297" s="3"/>
      <c r="AV297" s="3"/>
      <c r="AW297" s="3"/>
      <c r="AX297" s="3"/>
      <c r="AZ297" s="141"/>
      <c r="BA297" s="141"/>
      <c r="BB297" s="141"/>
      <c r="BC297" s="141"/>
      <c r="BD297" s="141"/>
      <c r="BE297" s="141"/>
      <c r="BN297" s="3"/>
      <c r="BO297" s="3"/>
    </row>
    <row r="298" spans="1:67" s="4" customFormat="1" ht="31.8" customHeight="1" x14ac:dyDescent="0.25">
      <c r="A298" s="102" t="s">
        <v>276</v>
      </c>
      <c r="B298" s="16" t="s">
        <v>253</v>
      </c>
      <c r="C298" s="16" t="s">
        <v>275</v>
      </c>
      <c r="D298" s="57">
        <f>3612000-853300</f>
        <v>2758700</v>
      </c>
      <c r="E298" s="57">
        <v>2272410</v>
      </c>
      <c r="F298" s="54">
        <f t="shared" si="51"/>
        <v>-486290</v>
      </c>
      <c r="G298" s="125">
        <f t="shared" si="49"/>
        <v>82.372494290789149</v>
      </c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122"/>
      <c r="X298" s="3"/>
      <c r="Y298" s="3"/>
      <c r="Z298" s="3"/>
      <c r="AA298" s="3"/>
      <c r="AD298" s="5"/>
      <c r="AE298" s="5"/>
      <c r="AF298" s="5"/>
      <c r="AG298" s="5"/>
      <c r="AH298" s="5"/>
      <c r="AI298" s="5"/>
      <c r="AJ298" s="3"/>
      <c r="AK298" s="3"/>
      <c r="AL298" s="3"/>
      <c r="AM298" s="3"/>
      <c r="AN298" s="3"/>
      <c r="AO298" s="3"/>
      <c r="AP298" s="3"/>
      <c r="AQ298" s="3"/>
      <c r="AR298" s="3"/>
      <c r="AS298" s="6"/>
      <c r="AT298" s="6"/>
      <c r="AU298" s="3"/>
      <c r="AV298" s="3"/>
      <c r="AW298" s="3"/>
      <c r="AX298" s="3"/>
      <c r="BA298" s="142"/>
      <c r="BB298" s="142"/>
      <c r="BC298" s="142"/>
      <c r="BD298" s="142"/>
      <c r="BE298" s="142"/>
      <c r="BF298" s="142"/>
      <c r="BN298" s="3"/>
      <c r="BO298" s="3"/>
    </row>
    <row r="299" spans="1:67" s="40" customFormat="1" ht="44.4" customHeight="1" x14ac:dyDescent="0.3">
      <c r="A299" s="92" t="s">
        <v>277</v>
      </c>
      <c r="B299" s="16" t="s">
        <v>209</v>
      </c>
      <c r="C299" s="16" t="s">
        <v>275</v>
      </c>
      <c r="D299" s="54">
        <v>87700</v>
      </c>
      <c r="E299" s="54">
        <v>87698.08</v>
      </c>
      <c r="F299" s="54">
        <f t="shared" si="51"/>
        <v>-1.9199999999982538</v>
      </c>
      <c r="G299" s="125">
        <f t="shared" si="49"/>
        <v>99.997810718358039</v>
      </c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123"/>
      <c r="X299" s="39"/>
      <c r="Y299" s="39"/>
      <c r="Z299" s="39"/>
      <c r="AA299" s="39"/>
      <c r="AD299" s="41"/>
      <c r="AE299" s="41"/>
      <c r="AF299" s="41"/>
      <c r="AG299" s="41"/>
      <c r="AH299" s="41"/>
      <c r="AI299" s="41"/>
      <c r="AJ299" s="39"/>
      <c r="AK299" s="39"/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  <c r="AX299" s="39"/>
      <c r="BN299" s="39"/>
      <c r="BO299" s="39"/>
    </row>
    <row r="300" spans="1:67" s="40" customFormat="1" ht="30.6" customHeight="1" x14ac:dyDescent="0.3">
      <c r="A300" s="78" t="s">
        <v>278</v>
      </c>
      <c r="B300" s="16" t="s">
        <v>209</v>
      </c>
      <c r="C300" s="16" t="s">
        <v>275</v>
      </c>
      <c r="D300" s="57">
        <v>248300</v>
      </c>
      <c r="E300" s="57">
        <v>248294.19</v>
      </c>
      <c r="F300" s="54">
        <f t="shared" si="51"/>
        <v>-5.8099999999976717</v>
      </c>
      <c r="G300" s="125">
        <f t="shared" si="49"/>
        <v>99.997660088602501</v>
      </c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123"/>
      <c r="X300" s="39"/>
      <c r="Y300" s="39"/>
      <c r="Z300" s="39"/>
      <c r="AA300" s="39"/>
      <c r="AD300" s="41"/>
      <c r="AE300" s="41"/>
      <c r="AF300" s="41"/>
      <c r="AG300" s="41"/>
      <c r="AH300" s="41"/>
      <c r="AI300" s="41"/>
      <c r="AJ300" s="39"/>
      <c r="AK300" s="39"/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  <c r="AX300" s="39"/>
      <c r="BN300" s="39"/>
      <c r="BO300" s="39"/>
    </row>
    <row r="301" spans="1:67" s="40" customFormat="1" ht="52.8" x14ac:dyDescent="0.3">
      <c r="A301" s="92" t="s">
        <v>279</v>
      </c>
      <c r="B301" s="16" t="s">
        <v>209</v>
      </c>
      <c r="C301" s="16" t="s">
        <v>275</v>
      </c>
      <c r="D301" s="59">
        <v>5515800</v>
      </c>
      <c r="E301" s="59">
        <v>5483676.2800000003</v>
      </c>
      <c r="F301" s="54">
        <f t="shared" si="51"/>
        <v>-32123.719999999739</v>
      </c>
      <c r="G301" s="125">
        <f t="shared" si="49"/>
        <v>99.417605424417133</v>
      </c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123"/>
      <c r="X301" s="39"/>
      <c r="Y301" s="39"/>
      <c r="Z301" s="39"/>
      <c r="AA301" s="39"/>
      <c r="AD301" s="41"/>
      <c r="AE301" s="41"/>
      <c r="AF301" s="41"/>
      <c r="AG301" s="41"/>
      <c r="AH301" s="41"/>
      <c r="AI301" s="41"/>
      <c r="AJ301" s="39"/>
      <c r="AK301" s="39"/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  <c r="AX301" s="39"/>
      <c r="BN301" s="39"/>
      <c r="BO301" s="39"/>
    </row>
    <row r="302" spans="1:67" s="4" customFormat="1" ht="52.8" x14ac:dyDescent="0.25">
      <c r="A302" s="92" t="s">
        <v>280</v>
      </c>
      <c r="B302" s="16" t="s">
        <v>209</v>
      </c>
      <c r="C302" s="16" t="s">
        <v>275</v>
      </c>
      <c r="D302" s="57">
        <f>3257100+179300+993200-349200</f>
        <v>4080400</v>
      </c>
      <c r="E302" s="57">
        <v>4080393.19</v>
      </c>
      <c r="F302" s="54">
        <f t="shared" si="51"/>
        <v>-6.8100000000558794</v>
      </c>
      <c r="G302" s="125">
        <f t="shared" si="49"/>
        <v>99.999833104597585</v>
      </c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122"/>
      <c r="X302" s="3"/>
      <c r="Y302" s="3"/>
      <c r="Z302" s="3"/>
      <c r="AA302" s="3"/>
      <c r="AD302" s="5"/>
      <c r="AE302" s="5"/>
      <c r="AF302" s="5"/>
      <c r="AG302" s="5"/>
      <c r="AH302" s="5"/>
      <c r="AI302" s="5"/>
      <c r="AJ302" s="3"/>
      <c r="AK302" s="3"/>
      <c r="AL302" s="3"/>
      <c r="AM302" s="3"/>
      <c r="AN302" s="3"/>
      <c r="AO302" s="3"/>
      <c r="AP302" s="3"/>
      <c r="AQ302" s="3"/>
      <c r="AR302" s="3"/>
      <c r="AS302" s="6"/>
      <c r="AT302" s="6"/>
      <c r="AU302" s="3"/>
      <c r="AV302" s="3"/>
      <c r="AW302" s="3"/>
      <c r="AX302" s="3"/>
      <c r="BN302" s="3"/>
      <c r="BO302" s="3"/>
    </row>
    <row r="303" spans="1:67" s="40" customFormat="1" ht="26.4" x14ac:dyDescent="0.3">
      <c r="A303" s="78" t="s">
        <v>281</v>
      </c>
      <c r="B303" s="16" t="s">
        <v>209</v>
      </c>
      <c r="C303" s="16" t="s">
        <v>275</v>
      </c>
      <c r="D303" s="59">
        <v>1424300</v>
      </c>
      <c r="E303" s="59">
        <v>1424300</v>
      </c>
      <c r="F303" s="54">
        <f t="shared" si="51"/>
        <v>0</v>
      </c>
      <c r="G303" s="125">
        <f t="shared" si="49"/>
        <v>100</v>
      </c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123"/>
      <c r="X303" s="39"/>
      <c r="Y303" s="39"/>
      <c r="Z303" s="39"/>
      <c r="AA303" s="39"/>
      <c r="AD303" s="41"/>
      <c r="AE303" s="41"/>
      <c r="AF303" s="41"/>
      <c r="AG303" s="41"/>
      <c r="AH303" s="41"/>
      <c r="AI303" s="41"/>
      <c r="AJ303" s="39"/>
      <c r="AK303" s="39"/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  <c r="AX303" s="39"/>
      <c r="BN303" s="39"/>
      <c r="BO303" s="39"/>
    </row>
    <row r="304" spans="1:67" s="40" customFormat="1" ht="73.2" customHeight="1" x14ac:dyDescent="0.3">
      <c r="A304" s="78" t="s">
        <v>282</v>
      </c>
      <c r="B304" s="16" t="s">
        <v>209</v>
      </c>
      <c r="C304" s="16" t="s">
        <v>275</v>
      </c>
      <c r="D304" s="58">
        <v>700</v>
      </c>
      <c r="E304" s="58">
        <v>700</v>
      </c>
      <c r="F304" s="54">
        <f t="shared" si="51"/>
        <v>0</v>
      </c>
      <c r="G304" s="125">
        <f t="shared" si="49"/>
        <v>100</v>
      </c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123"/>
      <c r="X304" s="39"/>
      <c r="Y304" s="39"/>
      <c r="Z304" s="39"/>
      <c r="AA304" s="39"/>
      <c r="AD304" s="41"/>
      <c r="AE304" s="41"/>
      <c r="AF304" s="41"/>
      <c r="AG304" s="41"/>
      <c r="AH304" s="41"/>
      <c r="AI304" s="41"/>
      <c r="AJ304" s="39"/>
      <c r="AK304" s="39"/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  <c r="AX304" s="39"/>
      <c r="BN304" s="39"/>
      <c r="BO304" s="39"/>
    </row>
    <row r="305" spans="1:67" s="4" customFormat="1" ht="46.2" customHeight="1" x14ac:dyDescent="0.25">
      <c r="A305" s="78" t="s">
        <v>283</v>
      </c>
      <c r="B305" s="16" t="s">
        <v>209</v>
      </c>
      <c r="C305" s="16" t="s">
        <v>275</v>
      </c>
      <c r="D305" s="57">
        <v>2608300</v>
      </c>
      <c r="E305" s="57">
        <v>2608277.58</v>
      </c>
      <c r="F305" s="54">
        <f t="shared" si="51"/>
        <v>-22.419999999925494</v>
      </c>
      <c r="G305" s="125">
        <f t="shared" si="49"/>
        <v>99.999140436299498</v>
      </c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122"/>
      <c r="X305" s="3"/>
      <c r="Y305" s="3"/>
      <c r="Z305" s="3"/>
      <c r="AA305" s="3"/>
      <c r="AD305" s="5"/>
      <c r="AE305" s="5"/>
      <c r="AF305" s="5"/>
      <c r="AG305" s="5"/>
      <c r="AH305" s="5"/>
      <c r="AI305" s="5"/>
      <c r="AJ305" s="3"/>
      <c r="AK305" s="3"/>
      <c r="AL305" s="3"/>
      <c r="AM305" s="3"/>
      <c r="AN305" s="3"/>
      <c r="AO305" s="3"/>
      <c r="AP305" s="3"/>
      <c r="AQ305" s="3"/>
      <c r="AR305" s="3"/>
      <c r="AS305" s="6"/>
      <c r="AT305" s="6"/>
      <c r="AU305" s="3"/>
      <c r="AV305" s="3"/>
      <c r="AW305" s="3"/>
      <c r="AX305" s="3"/>
      <c r="BN305" s="3"/>
      <c r="BO305" s="3"/>
    </row>
    <row r="306" spans="1:67" s="4" customFormat="1" ht="58.2" customHeight="1" x14ac:dyDescent="0.25">
      <c r="A306" s="103" t="s">
        <v>307</v>
      </c>
      <c r="B306" s="16" t="s">
        <v>79</v>
      </c>
      <c r="C306" s="16" t="s">
        <v>275</v>
      </c>
      <c r="D306" s="57">
        <f>1320900+97800+545600</f>
        <v>1964300</v>
      </c>
      <c r="E306" s="57">
        <f>1320900+97800+545600</f>
        <v>1964300</v>
      </c>
      <c r="F306" s="54">
        <f t="shared" si="51"/>
        <v>0</v>
      </c>
      <c r="G306" s="125">
        <f t="shared" si="49"/>
        <v>100</v>
      </c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122"/>
      <c r="X306" s="3"/>
      <c r="Y306" s="3"/>
      <c r="Z306" s="3"/>
      <c r="AA306" s="3"/>
      <c r="AD306" s="5"/>
      <c r="AE306" s="5"/>
      <c r="AF306" s="5"/>
      <c r="AG306" s="5"/>
      <c r="AH306" s="5"/>
      <c r="AI306" s="5"/>
      <c r="AJ306" s="3"/>
      <c r="AK306" s="3"/>
      <c r="AL306" s="3"/>
      <c r="AM306" s="3"/>
      <c r="AN306" s="3"/>
      <c r="AO306" s="3"/>
      <c r="AP306" s="3"/>
      <c r="AQ306" s="3"/>
      <c r="AR306" s="3"/>
      <c r="AS306" s="6"/>
      <c r="AT306" s="6"/>
      <c r="AU306" s="3"/>
      <c r="AV306" s="3"/>
      <c r="AW306" s="3"/>
      <c r="AX306" s="3"/>
      <c r="AZ306" s="147"/>
      <c r="BA306" s="147"/>
      <c r="BB306" s="147"/>
      <c r="BC306" s="147"/>
      <c r="BD306" s="147"/>
      <c r="BE306" s="147"/>
      <c r="BN306" s="3"/>
      <c r="BO306" s="3"/>
    </row>
    <row r="307" spans="1:67" s="4" customFormat="1" ht="52.8" x14ac:dyDescent="0.25">
      <c r="A307" s="78" t="s">
        <v>337</v>
      </c>
      <c r="B307" s="16" t="s">
        <v>5</v>
      </c>
      <c r="C307" s="36" t="s">
        <v>284</v>
      </c>
      <c r="D307" s="57">
        <f>+D308</f>
        <v>11600</v>
      </c>
      <c r="E307" s="57">
        <f>+E308</f>
        <v>11600</v>
      </c>
      <c r="F307" s="54">
        <f t="shared" si="51"/>
        <v>0</v>
      </c>
      <c r="G307" s="125">
        <f t="shared" si="49"/>
        <v>100</v>
      </c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122"/>
      <c r="X307" s="3"/>
      <c r="Y307" s="3"/>
      <c r="Z307" s="3"/>
      <c r="AA307" s="3"/>
      <c r="AD307" s="5"/>
      <c r="AE307" s="5"/>
      <c r="AF307" s="5"/>
      <c r="AG307" s="5"/>
      <c r="AH307" s="5"/>
      <c r="AI307" s="5"/>
      <c r="AJ307" s="3"/>
      <c r="AK307" s="3"/>
      <c r="AL307" s="3"/>
      <c r="AM307" s="3"/>
      <c r="AN307" s="3"/>
      <c r="AO307" s="3"/>
      <c r="AP307" s="3"/>
      <c r="AQ307" s="3"/>
      <c r="AR307" s="3"/>
      <c r="AS307" s="6"/>
      <c r="AT307" s="6"/>
      <c r="AU307" s="3"/>
      <c r="AV307" s="3"/>
      <c r="AW307" s="3"/>
      <c r="AX307" s="3"/>
      <c r="BN307" s="3"/>
      <c r="BO307" s="3"/>
    </row>
    <row r="308" spans="1:67" s="4" customFormat="1" ht="52.8" x14ac:dyDescent="0.25">
      <c r="A308" s="78" t="s">
        <v>285</v>
      </c>
      <c r="B308" s="16" t="s">
        <v>209</v>
      </c>
      <c r="C308" s="36" t="s">
        <v>286</v>
      </c>
      <c r="D308" s="57">
        <f>1300+10300</f>
        <v>11600</v>
      </c>
      <c r="E308" s="57">
        <f>1300+10300</f>
        <v>11600</v>
      </c>
      <c r="F308" s="54">
        <f t="shared" si="51"/>
        <v>0</v>
      </c>
      <c r="G308" s="125">
        <f t="shared" si="49"/>
        <v>100</v>
      </c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122"/>
      <c r="X308" s="3"/>
      <c r="Y308" s="3"/>
      <c r="Z308" s="3"/>
      <c r="AA308" s="3"/>
      <c r="AD308" s="5"/>
      <c r="AE308" s="5"/>
      <c r="AF308" s="5"/>
      <c r="AG308" s="5"/>
      <c r="AH308" s="5"/>
      <c r="AI308" s="5"/>
      <c r="AJ308" s="3"/>
      <c r="AK308" s="3"/>
      <c r="AL308" s="3"/>
      <c r="AM308" s="3"/>
      <c r="AN308" s="3"/>
      <c r="AO308" s="3"/>
      <c r="AP308" s="3"/>
      <c r="AQ308" s="3"/>
      <c r="AR308" s="3"/>
      <c r="AS308" s="6"/>
      <c r="AT308" s="6"/>
      <c r="AU308" s="3"/>
      <c r="AV308" s="3"/>
      <c r="AW308" s="3"/>
      <c r="AX308" s="3"/>
      <c r="BN308" s="3"/>
      <c r="BO308" s="3"/>
    </row>
    <row r="309" spans="1:67" s="4" customFormat="1" x14ac:dyDescent="0.25">
      <c r="A309" s="78" t="s">
        <v>287</v>
      </c>
      <c r="B309" s="16" t="s">
        <v>5</v>
      </c>
      <c r="C309" s="17" t="s">
        <v>288</v>
      </c>
      <c r="D309" s="54">
        <f>+D310</f>
        <v>2184969800</v>
      </c>
      <c r="E309" s="54">
        <f>+E310</f>
        <v>2132517830.0599999</v>
      </c>
      <c r="F309" s="54">
        <f t="shared" si="51"/>
        <v>-52451969.940000057</v>
      </c>
      <c r="G309" s="125">
        <f t="shared" si="49"/>
        <v>97.59941899700398</v>
      </c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122"/>
      <c r="X309" s="3"/>
      <c r="Y309" s="3"/>
      <c r="Z309" s="3"/>
      <c r="AA309" s="3"/>
      <c r="AD309" s="5"/>
      <c r="AE309" s="5"/>
      <c r="AF309" s="5"/>
      <c r="AG309" s="5"/>
      <c r="AH309" s="5"/>
      <c r="AI309" s="5"/>
      <c r="AJ309" s="3"/>
      <c r="AK309" s="3"/>
      <c r="AL309" s="3"/>
      <c r="AM309" s="3"/>
      <c r="AN309" s="3"/>
      <c r="AO309" s="3"/>
      <c r="AP309" s="3"/>
      <c r="AQ309" s="3"/>
      <c r="AR309" s="3"/>
      <c r="AS309" s="6"/>
      <c r="AT309" s="6"/>
      <c r="AU309" s="3"/>
      <c r="AV309" s="3"/>
      <c r="AW309" s="3"/>
      <c r="AX309" s="3"/>
      <c r="BN309" s="3"/>
      <c r="BO309" s="3"/>
    </row>
    <row r="310" spans="1:67" s="4" customFormat="1" x14ac:dyDescent="0.25">
      <c r="A310" s="78" t="s">
        <v>289</v>
      </c>
      <c r="B310" s="16" t="s">
        <v>5</v>
      </c>
      <c r="C310" s="17" t="s">
        <v>290</v>
      </c>
      <c r="D310" s="54">
        <f t="shared" ref="D310:E310" si="57">+D311+D312</f>
        <v>2184969800</v>
      </c>
      <c r="E310" s="54">
        <f t="shared" si="57"/>
        <v>2132517830.0599999</v>
      </c>
      <c r="F310" s="54">
        <f t="shared" si="51"/>
        <v>-52451969.940000057</v>
      </c>
      <c r="G310" s="125">
        <f t="shared" si="49"/>
        <v>97.59941899700398</v>
      </c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122"/>
      <c r="X310" s="3"/>
      <c r="Y310" s="3"/>
      <c r="Z310" s="3"/>
      <c r="AA310" s="3"/>
      <c r="AD310" s="5"/>
      <c r="AE310" s="5"/>
      <c r="AF310" s="5"/>
      <c r="AG310" s="5"/>
      <c r="AH310" s="5"/>
      <c r="AI310" s="5"/>
      <c r="AJ310" s="3"/>
      <c r="AK310" s="3"/>
      <c r="AL310" s="3"/>
      <c r="AM310" s="3"/>
      <c r="AN310" s="3"/>
      <c r="AO310" s="3"/>
      <c r="AP310" s="3"/>
      <c r="AQ310" s="3"/>
      <c r="AR310" s="3"/>
      <c r="AS310" s="6"/>
      <c r="AT310" s="6"/>
      <c r="AU310" s="3"/>
      <c r="AV310" s="3"/>
      <c r="AW310" s="3"/>
      <c r="AX310" s="3"/>
      <c r="BN310" s="3"/>
      <c r="BO310" s="3"/>
    </row>
    <row r="311" spans="1:67" s="4" customFormat="1" ht="79.2" x14ac:dyDescent="0.25">
      <c r="A311" s="92" t="s">
        <v>291</v>
      </c>
      <c r="B311" s="16" t="s">
        <v>253</v>
      </c>
      <c r="C311" s="17" t="s">
        <v>292</v>
      </c>
      <c r="D311" s="55">
        <f>929178000+58752700+45724500</f>
        <v>1033655200</v>
      </c>
      <c r="E311" s="55">
        <f>929178000+58752700+45724500</f>
        <v>1033655200</v>
      </c>
      <c r="F311" s="54">
        <f t="shared" si="51"/>
        <v>0</v>
      </c>
      <c r="G311" s="125">
        <f t="shared" si="49"/>
        <v>100</v>
      </c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122"/>
      <c r="X311" s="3"/>
      <c r="Y311" s="3"/>
      <c r="Z311" s="3"/>
      <c r="AA311" s="3"/>
      <c r="AD311" s="5"/>
      <c r="AE311" s="5"/>
      <c r="AF311" s="5"/>
      <c r="AG311" s="5"/>
      <c r="AH311" s="5"/>
      <c r="AI311" s="5"/>
      <c r="AJ311" s="3"/>
      <c r="AK311" s="3"/>
      <c r="AL311" s="3"/>
      <c r="AM311" s="3"/>
      <c r="AN311" s="3"/>
      <c r="AO311" s="3"/>
      <c r="AP311" s="3"/>
      <c r="AQ311" s="3"/>
      <c r="AR311" s="3"/>
      <c r="AS311" s="6"/>
      <c r="AT311" s="6"/>
      <c r="AU311" s="3"/>
      <c r="AV311" s="3"/>
      <c r="AW311" s="3"/>
      <c r="AX311" s="3"/>
      <c r="BN311" s="3"/>
      <c r="BO311" s="3"/>
    </row>
    <row r="312" spans="1:67" s="4" customFormat="1" ht="56.4" customHeight="1" x14ac:dyDescent="0.25">
      <c r="A312" s="92" t="s">
        <v>293</v>
      </c>
      <c r="B312" s="16" t="s">
        <v>253</v>
      </c>
      <c r="C312" s="17" t="s">
        <v>290</v>
      </c>
      <c r="D312" s="55">
        <f>1020012200+48095300+83207100</f>
        <v>1151314600</v>
      </c>
      <c r="E312" s="55">
        <v>1098862630.0599999</v>
      </c>
      <c r="F312" s="54">
        <f t="shared" si="51"/>
        <v>-52451969.940000057</v>
      </c>
      <c r="G312" s="125">
        <f t="shared" si="49"/>
        <v>95.444167046956579</v>
      </c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122"/>
      <c r="X312" s="3"/>
      <c r="Y312" s="3"/>
      <c r="Z312" s="3"/>
      <c r="AA312" s="3"/>
      <c r="AD312" s="5"/>
      <c r="AE312" s="5"/>
      <c r="AF312" s="5"/>
      <c r="AG312" s="5"/>
      <c r="AH312" s="5"/>
      <c r="AI312" s="5"/>
      <c r="AJ312" s="3"/>
      <c r="AK312" s="3"/>
      <c r="AL312" s="3"/>
      <c r="AM312" s="3"/>
      <c r="AN312" s="3"/>
      <c r="AO312" s="3"/>
      <c r="AP312" s="3"/>
      <c r="AQ312" s="3"/>
      <c r="AR312" s="3"/>
      <c r="AS312" s="6"/>
      <c r="AT312" s="6"/>
      <c r="AU312" s="3"/>
      <c r="AV312" s="3"/>
      <c r="AW312" s="3"/>
      <c r="AX312" s="3"/>
      <c r="BN312" s="3"/>
      <c r="BO312" s="3"/>
    </row>
    <row r="313" spans="1:67" s="4" customFormat="1" x14ac:dyDescent="0.25">
      <c r="A313" s="92" t="s">
        <v>403</v>
      </c>
      <c r="B313" s="16" t="s">
        <v>5</v>
      </c>
      <c r="C313" s="17" t="s">
        <v>404</v>
      </c>
      <c r="D313" s="55">
        <f>+D314+D316+D318+D320</f>
        <v>75404900</v>
      </c>
      <c r="E313" s="55">
        <f>+E314+E316+E318+E320</f>
        <v>73304296.799999997</v>
      </c>
      <c r="F313" s="54">
        <f t="shared" si="51"/>
        <v>-2100603.200000003</v>
      </c>
      <c r="G313" s="125">
        <f t="shared" si="49"/>
        <v>97.214235149174655</v>
      </c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122"/>
      <c r="X313" s="3"/>
      <c r="Y313" s="3"/>
      <c r="Z313" s="3"/>
      <c r="AA313" s="3"/>
      <c r="AD313" s="5"/>
      <c r="AE313" s="5"/>
      <c r="AF313" s="5"/>
      <c r="AG313" s="5"/>
      <c r="AH313" s="5"/>
      <c r="AI313" s="5"/>
      <c r="AJ313" s="3"/>
      <c r="AK313" s="3"/>
      <c r="AL313" s="3"/>
      <c r="AM313" s="3"/>
      <c r="AN313" s="3"/>
      <c r="AO313" s="3"/>
      <c r="AP313" s="3"/>
      <c r="AQ313" s="3"/>
      <c r="AR313" s="3"/>
      <c r="AS313" s="6"/>
      <c r="AT313" s="6"/>
      <c r="AU313" s="3"/>
      <c r="AV313" s="3"/>
      <c r="AW313" s="3"/>
      <c r="AX313" s="3"/>
      <c r="BN313" s="3"/>
      <c r="BO313" s="3"/>
    </row>
    <row r="314" spans="1:67" s="4" customFormat="1" ht="66" x14ac:dyDescent="0.25">
      <c r="A314" s="92" t="s">
        <v>410</v>
      </c>
      <c r="B314" s="16" t="s">
        <v>5</v>
      </c>
      <c r="C314" s="74" t="s">
        <v>406</v>
      </c>
      <c r="D314" s="55">
        <f>+D315</f>
        <v>5370000</v>
      </c>
      <c r="E314" s="55">
        <f t="shared" ref="E314" si="58">+E315</f>
        <v>5369849.4000000004</v>
      </c>
      <c r="F314" s="54">
        <f t="shared" si="51"/>
        <v>-150.59999999962747</v>
      </c>
      <c r="G314" s="125">
        <f t="shared" si="49"/>
        <v>99.997195530726273</v>
      </c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122"/>
      <c r="X314" s="3"/>
      <c r="Y314" s="3"/>
      <c r="Z314" s="3"/>
      <c r="AA314" s="3"/>
      <c r="AD314" s="5"/>
      <c r="AE314" s="5"/>
      <c r="AF314" s="5"/>
      <c r="AG314" s="5"/>
      <c r="AH314" s="5"/>
      <c r="AI314" s="5"/>
      <c r="AJ314" s="3"/>
      <c r="AK314" s="3"/>
      <c r="AL314" s="3"/>
      <c r="AM314" s="3"/>
      <c r="AN314" s="3"/>
      <c r="AO314" s="3"/>
      <c r="AP314" s="3"/>
      <c r="AQ314" s="3"/>
      <c r="AR314" s="3"/>
      <c r="AS314" s="6"/>
      <c r="AT314" s="6"/>
      <c r="AU314" s="3"/>
      <c r="AV314" s="3"/>
      <c r="AW314" s="3"/>
      <c r="AX314" s="3"/>
      <c r="BN314" s="3"/>
      <c r="BO314" s="3"/>
    </row>
    <row r="315" spans="1:67" s="4" customFormat="1" ht="66" x14ac:dyDescent="0.25">
      <c r="A315" s="92" t="s">
        <v>405</v>
      </c>
      <c r="B315" s="16" t="s">
        <v>253</v>
      </c>
      <c r="C315" s="74" t="s">
        <v>407</v>
      </c>
      <c r="D315" s="55">
        <f>5673900-303900</f>
        <v>5370000</v>
      </c>
      <c r="E315" s="55">
        <v>5369849.4000000004</v>
      </c>
      <c r="F315" s="54">
        <f t="shared" si="51"/>
        <v>-150.59999999962747</v>
      </c>
      <c r="G315" s="125">
        <f t="shared" si="49"/>
        <v>99.997195530726273</v>
      </c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122"/>
      <c r="X315" s="3"/>
      <c r="Y315" s="3"/>
      <c r="Z315" s="3"/>
      <c r="AA315" s="3"/>
      <c r="AD315" s="5"/>
      <c r="AE315" s="5"/>
      <c r="AF315" s="5"/>
      <c r="AG315" s="5"/>
      <c r="AH315" s="5"/>
      <c r="AI315" s="5"/>
      <c r="AJ315" s="3"/>
      <c r="AK315" s="3"/>
      <c r="AL315" s="3"/>
      <c r="AM315" s="3"/>
      <c r="AN315" s="3"/>
      <c r="AO315" s="3"/>
      <c r="AP315" s="3"/>
      <c r="AQ315" s="3"/>
      <c r="AR315" s="3"/>
      <c r="AS315" s="6"/>
      <c r="AT315" s="6"/>
      <c r="AU315" s="3"/>
      <c r="AV315" s="3"/>
      <c r="AW315" s="3"/>
      <c r="AX315" s="3"/>
      <c r="BN315" s="3"/>
      <c r="BO315" s="3"/>
    </row>
    <row r="316" spans="1:67" s="4" customFormat="1" ht="92.4" x14ac:dyDescent="0.25">
      <c r="A316" s="78" t="s">
        <v>412</v>
      </c>
      <c r="B316" s="16" t="s">
        <v>5</v>
      </c>
      <c r="C316" s="17" t="s">
        <v>408</v>
      </c>
      <c r="D316" s="55">
        <f>+D317</f>
        <v>53169900</v>
      </c>
      <c r="E316" s="55">
        <f t="shared" ref="E316" si="59">+E317</f>
        <v>52776547.399999999</v>
      </c>
      <c r="F316" s="54">
        <f t="shared" si="51"/>
        <v>-393352.60000000149</v>
      </c>
      <c r="G316" s="125">
        <f t="shared" si="49"/>
        <v>99.260196840693695</v>
      </c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122"/>
      <c r="X316" s="3"/>
      <c r="Y316" s="3"/>
      <c r="Z316" s="3"/>
      <c r="AA316" s="3"/>
      <c r="AD316" s="5"/>
      <c r="AE316" s="5"/>
      <c r="AF316" s="5"/>
      <c r="AG316" s="5"/>
      <c r="AH316" s="5"/>
      <c r="AI316" s="5"/>
      <c r="AJ316" s="3"/>
      <c r="AK316" s="3"/>
      <c r="AL316" s="3"/>
      <c r="AM316" s="3"/>
      <c r="AN316" s="3"/>
      <c r="AO316" s="3"/>
      <c r="AP316" s="3"/>
      <c r="AQ316" s="3"/>
      <c r="AR316" s="3"/>
      <c r="AS316" s="6"/>
      <c r="AT316" s="6"/>
      <c r="AU316" s="3"/>
      <c r="AV316" s="3"/>
      <c r="AW316" s="3"/>
      <c r="AX316" s="3"/>
      <c r="BN316" s="3"/>
      <c r="BO316" s="3"/>
    </row>
    <row r="317" spans="1:67" s="4" customFormat="1" ht="90" customHeight="1" x14ac:dyDescent="0.25">
      <c r="A317" s="78" t="s">
        <v>411</v>
      </c>
      <c r="B317" s="16" t="s">
        <v>253</v>
      </c>
      <c r="C317" s="17" t="s">
        <v>409</v>
      </c>
      <c r="D317" s="55">
        <f>55683900-2514000</f>
        <v>53169900</v>
      </c>
      <c r="E317" s="55">
        <v>52776547.399999999</v>
      </c>
      <c r="F317" s="54">
        <f t="shared" si="51"/>
        <v>-393352.60000000149</v>
      </c>
      <c r="G317" s="125">
        <f t="shared" si="49"/>
        <v>99.260196840693695</v>
      </c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122"/>
      <c r="X317" s="3"/>
      <c r="Y317" s="3"/>
      <c r="Z317" s="3"/>
      <c r="AA317" s="3"/>
      <c r="AD317" s="5"/>
      <c r="AE317" s="5"/>
      <c r="AF317" s="5"/>
      <c r="AG317" s="5"/>
      <c r="AH317" s="5"/>
      <c r="AI317" s="5"/>
      <c r="AJ317" s="3"/>
      <c r="AK317" s="3"/>
      <c r="AL317" s="3"/>
      <c r="AM317" s="3"/>
      <c r="AN317" s="3"/>
      <c r="AO317" s="3"/>
      <c r="AP317" s="3"/>
      <c r="AQ317" s="3"/>
      <c r="AR317" s="3"/>
      <c r="AS317" s="6"/>
      <c r="AT317" s="6"/>
      <c r="AU317" s="3"/>
      <c r="AV317" s="3"/>
      <c r="AW317" s="3"/>
      <c r="AX317" s="3"/>
      <c r="BN317" s="3"/>
      <c r="BO317" s="3"/>
    </row>
    <row r="318" spans="1:67" s="4" customFormat="1" ht="54" customHeight="1" x14ac:dyDescent="0.25">
      <c r="A318" s="78" t="s">
        <v>441</v>
      </c>
      <c r="B318" s="16" t="s">
        <v>5</v>
      </c>
      <c r="C318" s="17" t="s">
        <v>442</v>
      </c>
      <c r="D318" s="55">
        <f>+D319</f>
        <v>6907100</v>
      </c>
      <c r="E318" s="55">
        <f t="shared" ref="E318" si="60">+E319</f>
        <v>5200000</v>
      </c>
      <c r="F318" s="54">
        <f t="shared" si="51"/>
        <v>-1707100</v>
      </c>
      <c r="G318" s="125">
        <f t="shared" si="49"/>
        <v>75.284851819142617</v>
      </c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122"/>
      <c r="X318" s="3"/>
      <c r="Y318" s="3"/>
      <c r="Z318" s="3"/>
      <c r="AA318" s="3"/>
      <c r="AD318" s="5"/>
      <c r="AE318" s="5"/>
      <c r="AF318" s="5"/>
      <c r="AG318" s="5"/>
      <c r="AH318" s="5"/>
      <c r="AI318" s="5"/>
      <c r="AJ318" s="3"/>
      <c r="AK318" s="3"/>
      <c r="AL318" s="3"/>
      <c r="AM318" s="3"/>
      <c r="AN318" s="3"/>
      <c r="AO318" s="3"/>
      <c r="AP318" s="3"/>
      <c r="AQ318" s="3"/>
      <c r="AR318" s="3"/>
      <c r="AS318" s="6"/>
      <c r="AT318" s="6"/>
      <c r="AU318" s="3"/>
      <c r="AV318" s="3"/>
      <c r="AW318" s="3"/>
      <c r="AX318" s="3"/>
      <c r="BN318" s="3"/>
      <c r="BO318" s="3"/>
    </row>
    <row r="319" spans="1:67" s="4" customFormat="1" ht="58.8" customHeight="1" x14ac:dyDescent="0.25">
      <c r="A319" s="78" t="s">
        <v>439</v>
      </c>
      <c r="B319" s="16" t="s">
        <v>79</v>
      </c>
      <c r="C319" s="17" t="s">
        <v>440</v>
      </c>
      <c r="D319" s="55">
        <v>6907100</v>
      </c>
      <c r="E319" s="55">
        <v>5200000</v>
      </c>
      <c r="F319" s="54">
        <f t="shared" si="51"/>
        <v>-1707100</v>
      </c>
      <c r="G319" s="125">
        <f t="shared" si="49"/>
        <v>75.284851819142617</v>
      </c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122"/>
      <c r="X319" s="3"/>
      <c r="Y319" s="3"/>
      <c r="Z319" s="3"/>
      <c r="AA319" s="3"/>
      <c r="AD319" s="5"/>
      <c r="AE319" s="5"/>
      <c r="AF319" s="5"/>
      <c r="AG319" s="5"/>
      <c r="AH319" s="5"/>
      <c r="AI319" s="5"/>
      <c r="AJ319" s="3"/>
      <c r="AK319" s="3"/>
      <c r="AL319" s="3"/>
      <c r="AM319" s="3"/>
      <c r="AN319" s="3"/>
      <c r="AO319" s="3"/>
      <c r="AP319" s="3"/>
      <c r="AQ319" s="3"/>
      <c r="AR319" s="3"/>
      <c r="AS319" s="6"/>
      <c r="AT319" s="6"/>
      <c r="AU319" s="3"/>
      <c r="AV319" s="3"/>
      <c r="AW319" s="3"/>
      <c r="AX319" s="3"/>
      <c r="BN319" s="3"/>
      <c r="BO319" s="3"/>
    </row>
    <row r="320" spans="1:67" s="4" customFormat="1" ht="19.2" customHeight="1" x14ac:dyDescent="0.25">
      <c r="A320" s="81" t="s">
        <v>476</v>
      </c>
      <c r="B320" s="16" t="s">
        <v>5</v>
      </c>
      <c r="C320" s="71" t="s">
        <v>477</v>
      </c>
      <c r="D320" s="55">
        <f>+D321</f>
        <v>9957900</v>
      </c>
      <c r="E320" s="55">
        <f>+E321</f>
        <v>9957900</v>
      </c>
      <c r="F320" s="54">
        <f t="shared" si="51"/>
        <v>0</v>
      </c>
      <c r="G320" s="125">
        <f t="shared" si="49"/>
        <v>100</v>
      </c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122"/>
      <c r="X320" s="3"/>
      <c r="Y320" s="3"/>
      <c r="Z320" s="3"/>
      <c r="AA320" s="3"/>
      <c r="AD320" s="5"/>
      <c r="AE320" s="5"/>
      <c r="AF320" s="5"/>
      <c r="AG320" s="5"/>
      <c r="AH320" s="5"/>
      <c r="AI320" s="5"/>
      <c r="AJ320" s="3"/>
      <c r="AK320" s="3"/>
      <c r="AL320" s="3"/>
      <c r="AM320" s="3"/>
      <c r="AN320" s="3"/>
      <c r="AO320" s="3"/>
      <c r="AP320" s="3"/>
      <c r="AQ320" s="3"/>
      <c r="AR320" s="3"/>
      <c r="AS320" s="6"/>
      <c r="AT320" s="6"/>
      <c r="AU320" s="3"/>
      <c r="AV320" s="3"/>
      <c r="AW320" s="3"/>
      <c r="AX320" s="3"/>
      <c r="BN320" s="3"/>
      <c r="BO320" s="3"/>
    </row>
    <row r="321" spans="1:67" s="4" customFormat="1" ht="26.4" x14ac:dyDescent="0.25">
      <c r="A321" s="81" t="s">
        <v>550</v>
      </c>
      <c r="B321" s="16" t="s">
        <v>5</v>
      </c>
      <c r="C321" s="71" t="s">
        <v>478</v>
      </c>
      <c r="D321" s="116">
        <f>+D322+D323</f>
        <v>9957900</v>
      </c>
      <c r="E321" s="116">
        <f>+E322+E323</f>
        <v>9957900</v>
      </c>
      <c r="F321" s="54">
        <f>+E321-D321</f>
        <v>0</v>
      </c>
      <c r="G321" s="125">
        <f>E321/D321*100</f>
        <v>100</v>
      </c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122"/>
      <c r="X321" s="3"/>
      <c r="Y321" s="3"/>
      <c r="Z321" s="3"/>
      <c r="AA321" s="3"/>
      <c r="AD321" s="5"/>
      <c r="AE321" s="5"/>
      <c r="AF321" s="5"/>
      <c r="AG321" s="5"/>
      <c r="AH321" s="5"/>
      <c r="AI321" s="5"/>
      <c r="AJ321" s="3"/>
      <c r="AK321" s="3"/>
      <c r="AL321" s="3"/>
      <c r="AM321" s="3"/>
      <c r="AN321" s="3"/>
      <c r="AO321" s="3"/>
      <c r="AP321" s="3"/>
      <c r="AQ321" s="3"/>
      <c r="AR321" s="3"/>
      <c r="AS321" s="6"/>
      <c r="AT321" s="6"/>
      <c r="AU321" s="3"/>
      <c r="AV321" s="3"/>
      <c r="AW321" s="3"/>
      <c r="AX321" s="3"/>
      <c r="BN321" s="3"/>
      <c r="BO321" s="3"/>
    </row>
    <row r="322" spans="1:67" s="4" customFormat="1" ht="97.8" customHeight="1" x14ac:dyDescent="0.25">
      <c r="A322" s="81" t="s">
        <v>534</v>
      </c>
      <c r="B322" s="16" t="s">
        <v>246</v>
      </c>
      <c r="C322" s="71" t="s">
        <v>478</v>
      </c>
      <c r="D322" s="116">
        <v>8442200</v>
      </c>
      <c r="E322" s="116">
        <v>8442200</v>
      </c>
      <c r="F322" s="54">
        <f t="shared" si="51"/>
        <v>0</v>
      </c>
      <c r="G322" s="125">
        <f t="shared" si="49"/>
        <v>100</v>
      </c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122"/>
      <c r="X322" s="3"/>
      <c r="Y322" s="3"/>
      <c r="Z322" s="3"/>
      <c r="AA322" s="3"/>
      <c r="AD322" s="5"/>
      <c r="AE322" s="5"/>
      <c r="AF322" s="5"/>
      <c r="AG322" s="5"/>
      <c r="AH322" s="5"/>
      <c r="AI322" s="5"/>
      <c r="AJ322" s="3"/>
      <c r="AK322" s="3"/>
      <c r="AL322" s="3"/>
      <c r="AM322" s="3"/>
      <c r="AN322" s="3"/>
      <c r="AO322" s="3"/>
      <c r="AP322" s="3"/>
      <c r="AQ322" s="3"/>
      <c r="AR322" s="3"/>
      <c r="AS322" s="6"/>
      <c r="AT322" s="6"/>
      <c r="AU322" s="3"/>
      <c r="AV322" s="3"/>
      <c r="AW322" s="3"/>
      <c r="AX322" s="3"/>
      <c r="BN322" s="3"/>
      <c r="BO322" s="3"/>
    </row>
    <row r="323" spans="1:67" s="4" customFormat="1" ht="26.4" x14ac:dyDescent="0.25">
      <c r="A323" s="81" t="s">
        <v>549</v>
      </c>
      <c r="B323" s="16" t="s">
        <v>209</v>
      </c>
      <c r="C323" s="71" t="s">
        <v>478</v>
      </c>
      <c r="D323" s="116">
        <v>1515700</v>
      </c>
      <c r="E323" s="116">
        <v>1515700</v>
      </c>
      <c r="F323" s="54">
        <f t="shared" si="51"/>
        <v>0</v>
      </c>
      <c r="G323" s="125">
        <f t="shared" si="49"/>
        <v>100</v>
      </c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122"/>
      <c r="X323" s="3"/>
      <c r="Y323" s="3"/>
      <c r="Z323" s="3"/>
      <c r="AA323" s="3"/>
      <c r="AD323" s="5"/>
      <c r="AE323" s="5"/>
      <c r="AF323" s="5"/>
      <c r="AG323" s="5"/>
      <c r="AH323" s="5"/>
      <c r="AI323" s="5"/>
      <c r="AJ323" s="3"/>
      <c r="AK323" s="3"/>
      <c r="AL323" s="3"/>
      <c r="AM323" s="3"/>
      <c r="AN323" s="3"/>
      <c r="AO323" s="3"/>
      <c r="AP323" s="3"/>
      <c r="AQ323" s="3"/>
      <c r="AR323" s="3"/>
      <c r="AS323" s="6"/>
      <c r="AT323" s="6"/>
      <c r="AU323" s="3"/>
      <c r="AV323" s="3"/>
      <c r="AW323" s="3"/>
      <c r="AX323" s="3"/>
      <c r="BN323" s="3"/>
      <c r="BO323" s="3"/>
    </row>
    <row r="324" spans="1:67" s="4" customFormat="1" x14ac:dyDescent="0.25">
      <c r="A324" s="94" t="s">
        <v>539</v>
      </c>
      <c r="B324" s="66" t="s">
        <v>5</v>
      </c>
      <c r="C324" s="74" t="s">
        <v>540</v>
      </c>
      <c r="D324" s="68">
        <f t="shared" ref="D324:E325" si="61">D325</f>
        <v>89191.98</v>
      </c>
      <c r="E324" s="68">
        <f t="shared" si="61"/>
        <v>200691.98</v>
      </c>
      <c r="F324" s="54">
        <f t="shared" si="51"/>
        <v>111500.00000000001</v>
      </c>
      <c r="G324" s="125">
        <f t="shared" si="49"/>
        <v>225.01123979981165</v>
      </c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122"/>
      <c r="X324" s="3"/>
      <c r="Y324" s="3"/>
      <c r="Z324" s="3"/>
      <c r="AA324" s="3"/>
      <c r="AD324" s="5"/>
      <c r="AE324" s="5"/>
      <c r="AF324" s="5"/>
      <c r="AG324" s="5"/>
      <c r="AH324" s="5"/>
      <c r="AI324" s="5"/>
      <c r="AJ324" s="3"/>
      <c r="AK324" s="3"/>
      <c r="AL324" s="3"/>
      <c r="AM324" s="3"/>
      <c r="AN324" s="3"/>
      <c r="AO324" s="3"/>
      <c r="AP324" s="3"/>
      <c r="AQ324" s="3"/>
      <c r="AR324" s="3"/>
      <c r="AS324" s="6"/>
      <c r="AT324" s="6"/>
      <c r="AU324" s="3"/>
      <c r="AV324" s="3"/>
      <c r="AW324" s="3"/>
      <c r="AX324" s="3"/>
      <c r="BN324" s="3"/>
      <c r="BO324" s="3"/>
    </row>
    <row r="325" spans="1:67" s="4" customFormat="1" ht="16.8" customHeight="1" x14ac:dyDescent="0.25">
      <c r="A325" s="94" t="s">
        <v>541</v>
      </c>
      <c r="B325" s="66" t="s">
        <v>5</v>
      </c>
      <c r="C325" s="74" t="s">
        <v>542</v>
      </c>
      <c r="D325" s="68">
        <f t="shared" si="61"/>
        <v>89191.98</v>
      </c>
      <c r="E325" s="68">
        <f t="shared" si="61"/>
        <v>200691.98</v>
      </c>
      <c r="F325" s="54">
        <f t="shared" si="51"/>
        <v>111500.00000000001</v>
      </c>
      <c r="G325" s="125">
        <f t="shared" si="49"/>
        <v>225.01123979981165</v>
      </c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122"/>
      <c r="X325" s="3"/>
      <c r="Y325" s="3"/>
      <c r="Z325" s="3"/>
      <c r="AA325" s="3"/>
      <c r="AD325" s="5"/>
      <c r="AE325" s="5"/>
      <c r="AF325" s="5"/>
      <c r="AG325" s="5"/>
      <c r="AH325" s="5"/>
      <c r="AI325" s="5"/>
      <c r="AJ325" s="3"/>
      <c r="AK325" s="3"/>
      <c r="AL325" s="3"/>
      <c r="AM325" s="3"/>
      <c r="AN325" s="3"/>
      <c r="AO325" s="3"/>
      <c r="AP325" s="3"/>
      <c r="AQ325" s="3"/>
      <c r="AR325" s="3"/>
      <c r="AS325" s="6"/>
      <c r="AT325" s="6"/>
      <c r="AU325" s="3"/>
      <c r="AV325" s="3"/>
      <c r="AW325" s="3"/>
      <c r="AX325" s="3"/>
      <c r="BN325" s="3"/>
      <c r="BO325" s="3"/>
    </row>
    <row r="326" spans="1:67" s="4" customFormat="1" ht="20.399999999999999" customHeight="1" x14ac:dyDescent="0.25">
      <c r="A326" s="94" t="s">
        <v>541</v>
      </c>
      <c r="B326" s="66" t="s">
        <v>209</v>
      </c>
      <c r="C326" s="108" t="s">
        <v>543</v>
      </c>
      <c r="D326" s="117">
        <v>89191.98</v>
      </c>
      <c r="E326" s="55">
        <v>200691.98</v>
      </c>
      <c r="F326" s="54">
        <f t="shared" si="51"/>
        <v>111500.00000000001</v>
      </c>
      <c r="G326" s="125">
        <f t="shared" si="49"/>
        <v>225.01123979981165</v>
      </c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122"/>
      <c r="X326" s="3"/>
      <c r="Y326" s="3"/>
      <c r="Z326" s="3"/>
      <c r="AA326" s="3"/>
      <c r="AD326" s="5"/>
      <c r="AE326" s="5"/>
      <c r="AF326" s="5"/>
      <c r="AG326" s="5"/>
      <c r="AH326" s="5"/>
      <c r="AI326" s="5"/>
      <c r="AJ326" s="3"/>
      <c r="AK326" s="3"/>
      <c r="AL326" s="3"/>
      <c r="AM326" s="3"/>
      <c r="AN326" s="3"/>
      <c r="AO326" s="3"/>
      <c r="AP326" s="3"/>
      <c r="AQ326" s="3"/>
      <c r="AR326" s="3"/>
      <c r="AS326" s="6"/>
      <c r="AT326" s="6"/>
      <c r="AU326" s="3"/>
      <c r="AV326" s="3"/>
      <c r="AW326" s="3"/>
      <c r="AX326" s="3"/>
      <c r="BN326" s="3"/>
      <c r="BO326" s="3"/>
    </row>
    <row r="327" spans="1:67" s="4" customFormat="1" ht="46.95" customHeight="1" x14ac:dyDescent="0.25">
      <c r="A327" s="81" t="s">
        <v>365</v>
      </c>
      <c r="B327" s="16" t="s">
        <v>5</v>
      </c>
      <c r="C327" s="71" t="s">
        <v>366</v>
      </c>
      <c r="D327" s="55">
        <f>+D328</f>
        <v>327336.62</v>
      </c>
      <c r="E327" s="55">
        <f t="shared" ref="E327" si="62">+E328</f>
        <v>327336.62</v>
      </c>
      <c r="F327" s="54">
        <f t="shared" si="51"/>
        <v>0</v>
      </c>
      <c r="G327" s="125">
        <f t="shared" ref="G327:G340" si="63">E327/D327*100</f>
        <v>100</v>
      </c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122"/>
      <c r="X327" s="3"/>
      <c r="Y327" s="3"/>
      <c r="Z327" s="3"/>
      <c r="AA327" s="3"/>
      <c r="AD327" s="5"/>
      <c r="AE327" s="5"/>
      <c r="AF327" s="5"/>
      <c r="AG327" s="5"/>
      <c r="AH327" s="5"/>
      <c r="AI327" s="5"/>
      <c r="AJ327" s="3"/>
      <c r="AK327" s="3"/>
      <c r="AL327" s="3"/>
      <c r="AM327" s="3"/>
      <c r="AN327" s="3"/>
      <c r="AO327" s="3"/>
      <c r="AP327" s="3"/>
      <c r="AQ327" s="3"/>
      <c r="AR327" s="3"/>
      <c r="AS327" s="6"/>
      <c r="AT327" s="6"/>
      <c r="AU327" s="3"/>
      <c r="AV327" s="3"/>
      <c r="AW327" s="3"/>
      <c r="AX327" s="3"/>
      <c r="BN327" s="3"/>
      <c r="BO327" s="3"/>
    </row>
    <row r="328" spans="1:67" s="4" customFormat="1" ht="70.8" customHeight="1" x14ac:dyDescent="0.25">
      <c r="A328" s="81" t="s">
        <v>367</v>
      </c>
      <c r="B328" s="16" t="s">
        <v>5</v>
      </c>
      <c r="C328" s="71" t="s">
        <v>368</v>
      </c>
      <c r="D328" s="55">
        <f>+D329</f>
        <v>327336.62</v>
      </c>
      <c r="E328" s="55">
        <f>+E329</f>
        <v>327336.62</v>
      </c>
      <c r="F328" s="54">
        <f t="shared" ref="F328:F340" si="64">+E328-D328</f>
        <v>0</v>
      </c>
      <c r="G328" s="125">
        <f t="shared" si="63"/>
        <v>100</v>
      </c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122"/>
      <c r="X328" s="3"/>
      <c r="Y328" s="3"/>
      <c r="Z328" s="3"/>
      <c r="AA328" s="3"/>
      <c r="AD328" s="5"/>
      <c r="AE328" s="5"/>
      <c r="AF328" s="5"/>
      <c r="AG328" s="5"/>
      <c r="AH328" s="5"/>
      <c r="AI328" s="5"/>
      <c r="AJ328" s="3"/>
      <c r="AK328" s="3"/>
      <c r="AL328" s="3"/>
      <c r="AM328" s="3"/>
      <c r="AN328" s="3"/>
      <c r="AO328" s="3"/>
      <c r="AP328" s="3"/>
      <c r="AQ328" s="3"/>
      <c r="AR328" s="3"/>
      <c r="AS328" s="6"/>
      <c r="AT328" s="6"/>
      <c r="AU328" s="3"/>
      <c r="AV328" s="3"/>
      <c r="AW328" s="3"/>
      <c r="AX328" s="3"/>
      <c r="BN328" s="3"/>
      <c r="BO328" s="3"/>
    </row>
    <row r="329" spans="1:67" s="4" customFormat="1" ht="69.599999999999994" customHeight="1" x14ac:dyDescent="0.25">
      <c r="A329" s="81" t="s">
        <v>369</v>
      </c>
      <c r="B329" s="16" t="s">
        <v>5</v>
      </c>
      <c r="C329" s="71" t="s">
        <v>370</v>
      </c>
      <c r="D329" s="55">
        <f>+D330</f>
        <v>327336.62</v>
      </c>
      <c r="E329" s="55">
        <f>+E330</f>
        <v>327336.62</v>
      </c>
      <c r="F329" s="54">
        <f t="shared" si="64"/>
        <v>0</v>
      </c>
      <c r="G329" s="125">
        <f t="shared" si="63"/>
        <v>100</v>
      </c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122"/>
      <c r="X329" s="3"/>
      <c r="Y329" s="3"/>
      <c r="Z329" s="3"/>
      <c r="AA329" s="3"/>
      <c r="AD329" s="5"/>
      <c r="AE329" s="5"/>
      <c r="AF329" s="5"/>
      <c r="AG329" s="5"/>
      <c r="AH329" s="5"/>
      <c r="AI329" s="5"/>
      <c r="AJ329" s="3"/>
      <c r="AK329" s="3"/>
      <c r="AL329" s="3"/>
      <c r="AM329" s="3"/>
      <c r="AN329" s="3"/>
      <c r="AO329" s="3"/>
      <c r="AP329" s="3"/>
      <c r="AQ329" s="3"/>
      <c r="AR329" s="3"/>
      <c r="AS329" s="6"/>
      <c r="AT329" s="6"/>
      <c r="AU329" s="3"/>
      <c r="AV329" s="3"/>
      <c r="AW329" s="3"/>
      <c r="AX329" s="3"/>
      <c r="BN329" s="3"/>
      <c r="BO329" s="3"/>
    </row>
    <row r="330" spans="1:67" s="4" customFormat="1" ht="26.4" x14ac:dyDescent="0.25">
      <c r="A330" s="81" t="s">
        <v>371</v>
      </c>
      <c r="B330" s="16" t="s">
        <v>5</v>
      </c>
      <c r="C330" s="71" t="s">
        <v>372</v>
      </c>
      <c r="D330" s="55">
        <f>+D331+D332+D333</f>
        <v>327336.62</v>
      </c>
      <c r="E330" s="55">
        <f>+E331+E332+E333</f>
        <v>327336.62</v>
      </c>
      <c r="F330" s="54">
        <f t="shared" si="64"/>
        <v>0</v>
      </c>
      <c r="G330" s="125">
        <f t="shared" si="63"/>
        <v>100</v>
      </c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122"/>
      <c r="X330" s="3"/>
      <c r="Y330" s="3"/>
      <c r="Z330" s="3"/>
      <c r="AA330" s="3"/>
      <c r="AD330" s="5"/>
      <c r="AE330" s="5"/>
      <c r="AF330" s="5"/>
      <c r="AG330" s="5"/>
      <c r="AH330" s="5"/>
      <c r="AI330" s="5"/>
      <c r="AJ330" s="3"/>
      <c r="AK330" s="3"/>
      <c r="AL330" s="3"/>
      <c r="AM330" s="3"/>
      <c r="AN330" s="3"/>
      <c r="AO330" s="3"/>
      <c r="AP330" s="3"/>
      <c r="AQ330" s="3"/>
      <c r="AR330" s="3"/>
      <c r="AS330" s="6"/>
      <c r="AT330" s="6"/>
      <c r="AU330" s="3"/>
      <c r="AV330" s="3"/>
      <c r="AW330" s="3"/>
      <c r="AX330" s="3"/>
      <c r="BN330" s="3"/>
      <c r="BO330" s="3"/>
    </row>
    <row r="331" spans="1:67" s="4" customFormat="1" ht="26.4" x14ac:dyDescent="0.25">
      <c r="A331" s="89" t="s">
        <v>415</v>
      </c>
      <c r="B331" s="16" t="s">
        <v>253</v>
      </c>
      <c r="C331" s="71" t="s">
        <v>416</v>
      </c>
      <c r="D331" s="55">
        <v>88093.75</v>
      </c>
      <c r="E331" s="55">
        <v>88093.75</v>
      </c>
      <c r="F331" s="54">
        <f t="shared" si="64"/>
        <v>0</v>
      </c>
      <c r="G331" s="125">
        <f t="shared" si="63"/>
        <v>100</v>
      </c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122"/>
      <c r="X331" s="3"/>
      <c r="Y331" s="3"/>
      <c r="Z331" s="3"/>
      <c r="AA331" s="3"/>
      <c r="AD331" s="5"/>
      <c r="AE331" s="5"/>
      <c r="AF331" s="5"/>
      <c r="AG331" s="5"/>
      <c r="AH331" s="5"/>
      <c r="AI331" s="5"/>
      <c r="AJ331" s="3"/>
      <c r="AK331" s="3"/>
      <c r="AL331" s="3"/>
      <c r="AM331" s="3"/>
      <c r="AN331" s="3"/>
      <c r="AO331" s="3"/>
      <c r="AP331" s="3"/>
      <c r="AQ331" s="3"/>
      <c r="AR331" s="3"/>
      <c r="AS331" s="6"/>
      <c r="AT331" s="6"/>
      <c r="AU331" s="3"/>
      <c r="AV331" s="3"/>
      <c r="AW331" s="3"/>
      <c r="AX331" s="3"/>
      <c r="BN331" s="3"/>
      <c r="BO331" s="3"/>
    </row>
    <row r="332" spans="1:67" s="4" customFormat="1" ht="26.4" x14ac:dyDescent="0.25">
      <c r="A332" s="81" t="s">
        <v>374</v>
      </c>
      <c r="B332" s="16" t="s">
        <v>268</v>
      </c>
      <c r="C332" s="71" t="s">
        <v>373</v>
      </c>
      <c r="D332" s="55">
        <f>60781.97+167772.58</f>
        <v>228554.55</v>
      </c>
      <c r="E332" s="55">
        <f>60781.97+167772.58</f>
        <v>228554.55</v>
      </c>
      <c r="F332" s="54">
        <f t="shared" si="64"/>
        <v>0</v>
      </c>
      <c r="G332" s="125">
        <f t="shared" si="63"/>
        <v>100</v>
      </c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122"/>
      <c r="X332" s="3"/>
      <c r="Y332" s="3"/>
      <c r="Z332" s="3"/>
      <c r="AA332" s="3"/>
      <c r="AD332" s="5"/>
      <c r="AE332" s="5"/>
      <c r="AF332" s="5"/>
      <c r="AG332" s="5"/>
      <c r="AH332" s="5"/>
      <c r="AI332" s="5"/>
      <c r="AJ332" s="3"/>
      <c r="AK332" s="3"/>
      <c r="AL332" s="3"/>
      <c r="AM332" s="3"/>
      <c r="AN332" s="3"/>
      <c r="AO332" s="3"/>
      <c r="AP332" s="3"/>
      <c r="AQ332" s="3"/>
      <c r="AR332" s="3"/>
      <c r="AS332" s="6"/>
      <c r="AT332" s="6"/>
      <c r="AU332" s="3"/>
      <c r="AV332" s="3"/>
      <c r="AW332" s="3"/>
      <c r="AX332" s="3"/>
      <c r="BN332" s="3"/>
      <c r="BO332" s="3"/>
    </row>
    <row r="333" spans="1:67" s="4" customFormat="1" ht="26.4" x14ac:dyDescent="0.25">
      <c r="A333" s="81" t="s">
        <v>374</v>
      </c>
      <c r="B333" s="16" t="s">
        <v>209</v>
      </c>
      <c r="C333" s="71" t="s">
        <v>373</v>
      </c>
      <c r="D333" s="55">
        <f>5000+63.63+232.68+5174.51+217.5</f>
        <v>10688.32</v>
      </c>
      <c r="E333" s="55">
        <f>5000+63.63+232.68+5174.51+217.5</f>
        <v>10688.32</v>
      </c>
      <c r="F333" s="54">
        <f t="shared" si="64"/>
        <v>0</v>
      </c>
      <c r="G333" s="125">
        <f t="shared" si="63"/>
        <v>100</v>
      </c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122"/>
      <c r="X333" s="3"/>
      <c r="Y333" s="3"/>
      <c r="Z333" s="3"/>
      <c r="AA333" s="3"/>
      <c r="AD333" s="5"/>
      <c r="AE333" s="5"/>
      <c r="AF333" s="5"/>
      <c r="AG333" s="5"/>
      <c r="AH333" s="5"/>
      <c r="AI333" s="5"/>
      <c r="AJ333" s="3"/>
      <c r="AK333" s="3"/>
      <c r="AL333" s="3"/>
      <c r="AM333" s="3"/>
      <c r="AN333" s="3"/>
      <c r="AO333" s="3"/>
      <c r="AP333" s="3"/>
      <c r="AQ333" s="3"/>
      <c r="AR333" s="3"/>
      <c r="AS333" s="6"/>
      <c r="AT333" s="6"/>
      <c r="AU333" s="3"/>
      <c r="AV333" s="3"/>
      <c r="AW333" s="3"/>
      <c r="AX333" s="3"/>
      <c r="BN333" s="3"/>
      <c r="BO333" s="3"/>
    </row>
    <row r="334" spans="1:67" s="4" customFormat="1" ht="26.4" x14ac:dyDescent="0.25">
      <c r="A334" s="94" t="s">
        <v>375</v>
      </c>
      <c r="B334" s="16" t="s">
        <v>5</v>
      </c>
      <c r="C334" s="72" t="s">
        <v>376</v>
      </c>
      <c r="D334" s="55">
        <f>+D335</f>
        <v>-338219.09</v>
      </c>
      <c r="E334" s="55">
        <f>+E335</f>
        <v>-338219.09</v>
      </c>
      <c r="F334" s="54">
        <f t="shared" si="64"/>
        <v>0</v>
      </c>
      <c r="G334" s="125">
        <f t="shared" si="63"/>
        <v>100</v>
      </c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122"/>
      <c r="X334" s="3"/>
      <c r="Y334" s="3"/>
      <c r="Z334" s="3"/>
      <c r="AA334" s="3"/>
      <c r="AD334" s="5"/>
      <c r="AE334" s="5"/>
      <c r="AF334" s="5"/>
      <c r="AG334" s="5"/>
      <c r="AH334" s="5"/>
      <c r="AI334" s="5"/>
      <c r="AJ334" s="3"/>
      <c r="AK334" s="3"/>
      <c r="AL334" s="3"/>
      <c r="AM334" s="3"/>
      <c r="AN334" s="3"/>
      <c r="AO334" s="3"/>
      <c r="AP334" s="3"/>
      <c r="AQ334" s="3"/>
      <c r="AR334" s="3"/>
      <c r="AS334" s="6"/>
      <c r="AT334" s="6"/>
      <c r="AU334" s="3"/>
      <c r="AV334" s="3"/>
      <c r="AW334" s="3"/>
      <c r="AX334" s="3"/>
      <c r="BN334" s="3"/>
      <c r="BO334" s="3"/>
    </row>
    <row r="335" spans="1:67" s="4" customFormat="1" ht="39.6" x14ac:dyDescent="0.25">
      <c r="A335" s="94" t="s">
        <v>377</v>
      </c>
      <c r="B335" s="16" t="s">
        <v>5</v>
      </c>
      <c r="C335" s="72" t="s">
        <v>378</v>
      </c>
      <c r="D335" s="55">
        <f>+D336+D337+D338+D339</f>
        <v>-338219.09</v>
      </c>
      <c r="E335" s="55">
        <f>+E336+E337+E338+E339</f>
        <v>-338219.09</v>
      </c>
      <c r="F335" s="54">
        <f t="shared" si="64"/>
        <v>0</v>
      </c>
      <c r="G335" s="125">
        <f t="shared" si="63"/>
        <v>100</v>
      </c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122"/>
      <c r="X335" s="3"/>
      <c r="Y335" s="3"/>
      <c r="Z335" s="3"/>
      <c r="AA335" s="3"/>
      <c r="AD335" s="5"/>
      <c r="AE335" s="5"/>
      <c r="AF335" s="5"/>
      <c r="AG335" s="5"/>
      <c r="AH335" s="5"/>
      <c r="AI335" s="5"/>
      <c r="AJ335" s="3"/>
      <c r="AK335" s="3"/>
      <c r="AL335" s="3"/>
      <c r="AM335" s="3"/>
      <c r="AN335" s="3"/>
      <c r="AO335" s="3"/>
      <c r="AP335" s="3"/>
      <c r="AQ335" s="3"/>
      <c r="AR335" s="3"/>
      <c r="AS335" s="6"/>
      <c r="AT335" s="6"/>
      <c r="AU335" s="3"/>
      <c r="AV335" s="3"/>
      <c r="AW335" s="3"/>
      <c r="AX335" s="3"/>
      <c r="BN335" s="3"/>
      <c r="BO335" s="3"/>
    </row>
    <row r="336" spans="1:67" s="4" customFormat="1" ht="39.6" x14ac:dyDescent="0.25">
      <c r="A336" s="89" t="s">
        <v>413</v>
      </c>
      <c r="B336" s="16" t="s">
        <v>268</v>
      </c>
      <c r="C336" s="76" t="s">
        <v>414</v>
      </c>
      <c r="D336" s="55">
        <f>-60781.97-167772.58</f>
        <v>-228554.55</v>
      </c>
      <c r="E336" s="55">
        <f>-60781.97-167772.58</f>
        <v>-228554.55</v>
      </c>
      <c r="F336" s="54">
        <f t="shared" si="64"/>
        <v>0</v>
      </c>
      <c r="G336" s="125">
        <f t="shared" si="63"/>
        <v>100</v>
      </c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122"/>
      <c r="X336" s="3"/>
      <c r="Y336" s="3"/>
      <c r="Z336" s="3"/>
      <c r="AA336" s="3"/>
      <c r="AD336" s="5"/>
      <c r="AE336" s="5"/>
      <c r="AF336" s="5"/>
      <c r="AG336" s="5"/>
      <c r="AH336" s="5"/>
      <c r="AI336" s="5"/>
      <c r="AJ336" s="3"/>
      <c r="AK336" s="3"/>
      <c r="AL336" s="3"/>
      <c r="AM336" s="3"/>
      <c r="AN336" s="3"/>
      <c r="AO336" s="3"/>
      <c r="AP336" s="3"/>
      <c r="AQ336" s="3"/>
      <c r="AR336" s="3"/>
      <c r="AS336" s="6"/>
      <c r="AT336" s="6"/>
      <c r="AU336" s="3"/>
      <c r="AV336" s="3"/>
      <c r="AW336" s="3"/>
      <c r="AX336" s="3"/>
      <c r="BN336" s="3"/>
      <c r="BO336" s="3"/>
    </row>
    <row r="337" spans="1:67" s="4" customFormat="1" ht="39.6" x14ac:dyDescent="0.25">
      <c r="A337" s="104" t="s">
        <v>379</v>
      </c>
      <c r="B337" s="16" t="s">
        <v>253</v>
      </c>
      <c r="C337" s="73" t="s">
        <v>380</v>
      </c>
      <c r="D337" s="55">
        <f>-9938-9885.2-61859.3</f>
        <v>-81682.5</v>
      </c>
      <c r="E337" s="55">
        <f>-9938-9885.2-61859.3</f>
        <v>-81682.5</v>
      </c>
      <c r="F337" s="54">
        <f t="shared" si="64"/>
        <v>0</v>
      </c>
      <c r="G337" s="125">
        <f t="shared" si="63"/>
        <v>100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122"/>
      <c r="X337" s="3"/>
      <c r="Y337" s="3"/>
      <c r="Z337" s="3"/>
      <c r="AA337" s="3"/>
      <c r="AD337" s="5"/>
      <c r="AE337" s="5"/>
      <c r="AF337" s="5"/>
      <c r="AG337" s="5"/>
      <c r="AH337" s="5"/>
      <c r="AI337" s="5"/>
      <c r="AJ337" s="3"/>
      <c r="AK337" s="3"/>
      <c r="AL337" s="3"/>
      <c r="AM337" s="3"/>
      <c r="AN337" s="3"/>
      <c r="AO337" s="3"/>
      <c r="AP337" s="3"/>
      <c r="AQ337" s="3"/>
      <c r="AR337" s="3"/>
      <c r="AS337" s="6"/>
      <c r="AT337" s="6"/>
      <c r="AU337" s="3"/>
      <c r="AV337" s="3"/>
      <c r="AW337" s="3"/>
      <c r="AX337" s="3"/>
      <c r="BN337" s="3"/>
      <c r="BO337" s="3"/>
    </row>
    <row r="338" spans="1:67" s="4" customFormat="1" ht="39.6" x14ac:dyDescent="0.25">
      <c r="A338" s="104" t="s">
        <v>379</v>
      </c>
      <c r="B338" s="16" t="s">
        <v>209</v>
      </c>
      <c r="C338" s="73" t="s">
        <v>380</v>
      </c>
      <c r="D338" s="55">
        <f>-12293.07-5000-5000-63.63-232.68-5174.51-217.5</f>
        <v>-27981.39</v>
      </c>
      <c r="E338" s="55">
        <f>-12293.07-5000-5000-63.63-232.68-5174.51-217.5</f>
        <v>-27981.39</v>
      </c>
      <c r="F338" s="54">
        <f t="shared" si="64"/>
        <v>0</v>
      </c>
      <c r="G338" s="125">
        <f t="shared" si="63"/>
        <v>100</v>
      </c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122"/>
      <c r="X338" s="3"/>
      <c r="Y338" s="3"/>
      <c r="Z338" s="3"/>
      <c r="AA338" s="3"/>
      <c r="AD338" s="5"/>
      <c r="AE338" s="5"/>
      <c r="AF338" s="5"/>
      <c r="AG338" s="5"/>
      <c r="AH338" s="5"/>
      <c r="AI338" s="5"/>
      <c r="AJ338" s="3"/>
      <c r="AK338" s="3"/>
      <c r="AL338" s="3"/>
      <c r="AM338" s="3"/>
      <c r="AN338" s="3"/>
      <c r="AO338" s="3"/>
      <c r="AP338" s="3"/>
      <c r="AQ338" s="3"/>
      <c r="AR338" s="3"/>
      <c r="AS338" s="6"/>
      <c r="AT338" s="6"/>
      <c r="AU338" s="3"/>
      <c r="AV338" s="3"/>
      <c r="AW338" s="3"/>
      <c r="AX338" s="3"/>
      <c r="BN338" s="3"/>
      <c r="BO338" s="3"/>
    </row>
    <row r="339" spans="1:67" s="4" customFormat="1" ht="39.6" x14ac:dyDescent="0.25">
      <c r="A339" s="104" t="s">
        <v>379</v>
      </c>
      <c r="B339" s="16" t="s">
        <v>79</v>
      </c>
      <c r="C339" s="73" t="s">
        <v>380</v>
      </c>
      <c r="D339" s="55">
        <v>-0.65</v>
      </c>
      <c r="E339" s="55">
        <v>-0.65</v>
      </c>
      <c r="F339" s="54">
        <f t="shared" si="64"/>
        <v>0</v>
      </c>
      <c r="G339" s="125">
        <f t="shared" si="63"/>
        <v>100</v>
      </c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122"/>
      <c r="X339" s="3"/>
      <c r="Y339" s="3"/>
      <c r="Z339" s="3"/>
      <c r="AA339" s="3"/>
      <c r="AD339" s="5"/>
      <c r="AE339" s="5"/>
      <c r="AF339" s="5"/>
      <c r="AG339" s="5"/>
      <c r="AH339" s="5"/>
      <c r="AI339" s="5"/>
      <c r="AJ339" s="3"/>
      <c r="AK339" s="3"/>
      <c r="AL339" s="3"/>
      <c r="AM339" s="3"/>
      <c r="AN339" s="3"/>
      <c r="AO339" s="3"/>
      <c r="AP339" s="3"/>
      <c r="AQ339" s="3"/>
      <c r="AR339" s="3"/>
      <c r="AS339" s="6"/>
      <c r="AT339" s="6"/>
      <c r="AU339" s="3"/>
      <c r="AV339" s="3"/>
      <c r="AW339" s="3"/>
      <c r="AX339" s="3"/>
      <c r="BN339" s="3"/>
      <c r="BO339" s="3"/>
    </row>
    <row r="340" spans="1:67" s="6" customFormat="1" x14ac:dyDescent="0.25">
      <c r="A340" s="78" t="s">
        <v>294</v>
      </c>
      <c r="B340" s="16"/>
      <c r="C340" s="17"/>
      <c r="D340" s="54">
        <f>+D11+D244</f>
        <v>4700246836.9799995</v>
      </c>
      <c r="E340" s="54">
        <f>+E11+E244</f>
        <v>4513501138.3000002</v>
      </c>
      <c r="F340" s="54">
        <f t="shared" si="64"/>
        <v>-186745698.67999935</v>
      </c>
      <c r="G340" s="125">
        <f t="shared" si="63"/>
        <v>96.026895923619477</v>
      </c>
      <c r="W340" s="42"/>
      <c r="AD340" s="5"/>
      <c r="AE340" s="43"/>
      <c r="AF340" s="5"/>
      <c r="AG340" s="5"/>
      <c r="AH340" s="5"/>
      <c r="AI340" s="5"/>
    </row>
    <row r="341" spans="1:67" s="47" customFormat="1" x14ac:dyDescent="0.25">
      <c r="A341" s="105"/>
      <c r="B341" s="44"/>
      <c r="C341" s="45"/>
      <c r="D341" s="45"/>
      <c r="E341" s="44"/>
      <c r="F341" s="44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J341" s="46"/>
      <c r="AK341" s="46"/>
      <c r="AL341" s="46"/>
      <c r="AM341" s="46"/>
      <c r="AN341" s="46"/>
      <c r="AO341" s="46"/>
      <c r="AP341" s="46"/>
      <c r="AQ341" s="46"/>
      <c r="AR341" s="46"/>
      <c r="AS341" s="46"/>
      <c r="AT341" s="46"/>
      <c r="AU341" s="46"/>
      <c r="AV341" s="46"/>
      <c r="AW341" s="46"/>
      <c r="AX341" s="46"/>
      <c r="BN341" s="46"/>
      <c r="BO341" s="46"/>
    </row>
    <row r="342" spans="1:67" x14ac:dyDescent="0.25">
      <c r="B342" s="48"/>
      <c r="D342" s="84"/>
      <c r="E342" s="60"/>
      <c r="F342" s="60"/>
    </row>
    <row r="343" spans="1:67" ht="17.399999999999999" x14ac:dyDescent="0.3">
      <c r="K343" s="130"/>
      <c r="L343" s="130"/>
    </row>
    <row r="344" spans="1:67" ht="17.399999999999999" x14ac:dyDescent="0.3">
      <c r="A344" s="135" t="s">
        <v>295</v>
      </c>
      <c r="B344" s="135"/>
      <c r="C344" s="51"/>
      <c r="D344" s="128"/>
      <c r="E344" s="128"/>
      <c r="F344" s="129" t="s">
        <v>568</v>
      </c>
      <c r="G344" s="129"/>
    </row>
    <row r="345" spans="1:67" ht="17.399999999999999" x14ac:dyDescent="0.3">
      <c r="A345" s="120"/>
      <c r="B345" s="120"/>
      <c r="C345" s="51"/>
      <c r="D345" s="85"/>
      <c r="E345" s="52"/>
      <c r="F345" s="52"/>
    </row>
    <row r="346" spans="1:67" ht="17.399999999999999" x14ac:dyDescent="0.3">
      <c r="A346" s="107"/>
      <c r="B346" s="52"/>
      <c r="C346" s="53"/>
      <c r="D346" s="85"/>
      <c r="E346" s="52"/>
      <c r="F346" s="52"/>
      <c r="K346" s="130"/>
      <c r="L346" s="130"/>
    </row>
    <row r="347" spans="1:67" ht="17.399999999999999" x14ac:dyDescent="0.3">
      <c r="C347" s="53"/>
      <c r="D347" s="138"/>
      <c r="E347" s="138"/>
      <c r="F347" s="138"/>
      <c r="G347" s="138"/>
    </row>
  </sheetData>
  <mergeCells count="25">
    <mergeCell ref="F4:G4"/>
    <mergeCell ref="F5:G5"/>
    <mergeCell ref="K346:L346"/>
    <mergeCell ref="D347:G347"/>
    <mergeCell ref="BL1:BM3"/>
    <mergeCell ref="AS103:AS109"/>
    <mergeCell ref="AZ297:BE297"/>
    <mergeCell ref="BA298:BF298"/>
    <mergeCell ref="U11:W11"/>
    <mergeCell ref="U13:W13"/>
    <mergeCell ref="AN22:AN30"/>
    <mergeCell ref="M103:M109"/>
    <mergeCell ref="AN103:AN107"/>
    <mergeCell ref="A6:G6"/>
    <mergeCell ref="F3:G3"/>
    <mergeCell ref="AZ306:BE306"/>
    <mergeCell ref="F344:G344"/>
    <mergeCell ref="K343:L343"/>
    <mergeCell ref="A8:A9"/>
    <mergeCell ref="B8:C8"/>
    <mergeCell ref="D8:D9"/>
    <mergeCell ref="E8:E9"/>
    <mergeCell ref="G8:G9"/>
    <mergeCell ref="F8:F9"/>
    <mergeCell ref="A344:B344"/>
  </mergeCells>
  <pageMargins left="1.1811023622047245" right="0.39370078740157483" top="0.59055118110236227" bottom="0.78740157480314965" header="0" footer="0"/>
  <pageSetup paperSize="9" scale="6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исполнении 2023</vt:lpstr>
      <vt:lpstr>'Прил исполнении 2023'!Заголовки_для_печати</vt:lpstr>
      <vt:lpstr>'Прил исполнении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2024-03-19T09:04:11Z</dcterms:modified>
</cp:coreProperties>
</file>